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charts/chart2.xml" ContentType="application/vnd.openxmlformats-officedocument.drawingml.chart+xml"/>
  <Override PartName="/xl/drawings/drawing3.xml" ContentType="application/vnd.openxmlformats-officedocument.drawing+xml"/>
  <Override PartName="/xl/tables/table3.xml" ContentType="application/vnd.openxmlformats-officedocument.spreadsheetml.table+xml"/>
  <Override PartName="/xl/slicers/slicer3.xml" ContentType="application/vnd.ms-excel.slicer+xml"/>
  <Override PartName="/xl/charts/chart3.xml" ContentType="application/vnd.openxmlformats-officedocument.drawingml.chart+xml"/>
  <Override PartName="/xl/drawings/drawing4.xml" ContentType="application/vnd.openxmlformats-officedocument.drawing+xml"/>
  <Override PartName="/xl/tables/table4.xml" ContentType="application/vnd.openxmlformats-officedocument.spreadsheetml.table+xml"/>
  <Override PartName="/xl/slicers/slicer4.xml" ContentType="application/vnd.ms-excel.slicer+xml"/>
  <Override PartName="/xl/charts/chart4.xml" ContentType="application/vnd.openxmlformats-officedocument.drawingml.chart+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filterPrivacy="1" defaultThemeVersion="166925"/>
  <xr:revisionPtr revIDLastSave="0" documentId="13_ncr:1_{35CDE4C3-5B70-40DD-852C-508AA293CEB4}" xr6:coauthVersionLast="45" xr6:coauthVersionMax="45" xr10:uidLastSave="{00000000-0000-0000-0000-000000000000}"/>
  <bookViews>
    <workbookView xWindow="-100" yWindow="-100" windowWidth="24172" windowHeight="14725" xr2:uid="{B9BD73D1-11A8-46DD-8678-3D8C7901D3BB}"/>
  </bookViews>
  <sheets>
    <sheet name="Дума партии" sheetId="1" r:id="rId1"/>
    <sheet name="Мособлдума партии" sheetId="2" r:id="rId2"/>
    <sheet name="Дума одномандатный" sheetId="3" r:id="rId3"/>
    <sheet name="Мособлдума одномандатный" sheetId="4" r:id="rId4"/>
    <sheet name="Оценка фальсификаций" sheetId="5" r:id="rId5"/>
  </sheets>
  <definedNames>
    <definedName name="Slicer_Зона_ответственности_в_сен._2022_г.">#N/A</definedName>
    <definedName name="Slicer_Зона_ответственности_в_сен._2022_г.1">#N/A</definedName>
    <definedName name="Slicer_Зона_ответственности_в_сен._2022_г.2">#N/A</definedName>
    <definedName name="Slicer_Зона_ответственности_за_набл._в_сент._2022_г.">#N/A</definedName>
    <definedName name="Slicer_Наблюдателей">#N/A</definedName>
    <definedName name="Slicer_Наблюдателей1">#N/A</definedName>
    <definedName name="Slicer_Наблюдателей2">#N/A</definedName>
    <definedName name="Slicer_Наблюдателей3">#N/A</definedName>
  </definedNames>
  <calcPr calcId="18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4:slicerCache r:id="rId8"/>
        <x14:slicerCache r:id="rId9"/>
        <x14:slicerCache r:id="rId10"/>
        <x14:slicerCache r:id="rId11"/>
        <x14:slicerCache r:id="rId12"/>
        <x14:slicerCache r:id="rId1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43" i="2" l="1"/>
  <c r="I105" i="1" l="1"/>
  <c r="I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AB143" i="1" l="1"/>
  <c r="G106" i="5"/>
  <c r="F106" i="5"/>
  <c r="A106" i="5"/>
  <c r="C106" i="5"/>
  <c r="E106" i="5"/>
  <c r="D106" i="5"/>
  <c r="H76" i="5"/>
  <c r="H60" i="5"/>
  <c r="H34" i="5"/>
  <c r="H58" i="5"/>
  <c r="H29" i="5"/>
  <c r="H65" i="5"/>
  <c r="H79" i="5"/>
  <c r="H73" i="5"/>
  <c r="H66" i="5"/>
  <c r="H50" i="5"/>
  <c r="H72" i="5"/>
  <c r="H52" i="5"/>
  <c r="H71" i="5"/>
  <c r="H59" i="5"/>
  <c r="H63" i="5"/>
  <c r="H86" i="5"/>
  <c r="H82" i="5"/>
  <c r="H42" i="5"/>
  <c r="H55" i="5"/>
  <c r="H83" i="5"/>
  <c r="H75" i="5"/>
  <c r="H37" i="5"/>
  <c r="H4" i="5"/>
  <c r="H44" i="5"/>
  <c r="H74" i="5"/>
  <c r="H22" i="5"/>
  <c r="H2" i="5"/>
  <c r="H8" i="5"/>
  <c r="H21" i="5"/>
  <c r="H61" i="5"/>
  <c r="H5" i="5"/>
  <c r="H85" i="5"/>
  <c r="H36" i="5"/>
  <c r="H32" i="5"/>
  <c r="H41" i="5"/>
  <c r="H11" i="5"/>
  <c r="H16" i="5"/>
  <c r="H14" i="5"/>
  <c r="H13" i="5"/>
  <c r="H38" i="5"/>
  <c r="H18" i="5"/>
  <c r="H90" i="5"/>
  <c r="H20" i="5"/>
  <c r="H30" i="5"/>
  <c r="H62" i="5"/>
  <c r="H23" i="5"/>
  <c r="H103" i="5"/>
  <c r="H10" i="5"/>
  <c r="H68" i="5"/>
  <c r="H99" i="5"/>
  <c r="H88" i="5"/>
  <c r="H89" i="5"/>
  <c r="H94" i="5"/>
  <c r="H77" i="5"/>
  <c r="H64" i="5"/>
  <c r="H78" i="5"/>
  <c r="H15" i="5"/>
  <c r="H28" i="5"/>
  <c r="H9" i="5"/>
  <c r="H67" i="5"/>
  <c r="H101" i="5"/>
  <c r="H17" i="5"/>
  <c r="H104" i="5"/>
  <c r="H92" i="5"/>
  <c r="H84" i="5"/>
  <c r="H98" i="5"/>
  <c r="H105" i="5"/>
  <c r="H102" i="5"/>
  <c r="H54" i="5"/>
  <c r="H87" i="5"/>
  <c r="H100" i="5"/>
  <c r="H97" i="5"/>
  <c r="H24" i="5"/>
  <c r="H33" i="5"/>
  <c r="H26" i="5"/>
  <c r="H40" i="5"/>
  <c r="H19" i="5"/>
  <c r="H35" i="5"/>
  <c r="H31" i="5"/>
  <c r="H39" i="5"/>
  <c r="H69" i="5"/>
  <c r="H49" i="5"/>
  <c r="H7" i="5"/>
  <c r="H80" i="5"/>
  <c r="H47" i="5"/>
  <c r="H48" i="5"/>
  <c r="H46" i="5"/>
  <c r="H81" i="5"/>
  <c r="H53" i="5"/>
  <c r="H70" i="5"/>
  <c r="H91" i="5"/>
  <c r="H12" i="5"/>
  <c r="H51" i="5"/>
  <c r="H27" i="5"/>
  <c r="H95" i="5"/>
  <c r="H93" i="5"/>
  <c r="H6" i="5"/>
  <c r="H25" i="5"/>
  <c r="H3" i="5"/>
  <c r="H96" i="5"/>
  <c r="H45" i="5"/>
  <c r="H43" i="5"/>
  <c r="H56" i="5"/>
  <c r="H57" i="5"/>
  <c r="AQ2" i="4"/>
  <c r="AQ3" i="4"/>
  <c r="AQ4" i="4"/>
  <c r="AQ5" i="4"/>
  <c r="AQ6" i="4"/>
  <c r="AQ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49"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Y2" i="3"/>
  <c r="AY3" i="3"/>
  <c r="AY4" i="3"/>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Y85" i="3"/>
  <c r="AY86" i="3"/>
  <c r="AY87" i="3"/>
  <c r="AY88" i="3"/>
  <c r="AY89" i="3"/>
  <c r="AY90" i="3"/>
  <c r="AY91" i="3"/>
  <c r="AY92" i="3"/>
  <c r="AY93" i="3"/>
  <c r="AY94" i="3"/>
  <c r="AY95" i="3"/>
  <c r="AY96" i="3"/>
  <c r="AY97" i="3"/>
  <c r="AY98" i="3"/>
  <c r="AY99" i="3"/>
  <c r="AY100" i="3"/>
  <c r="AY101" i="3"/>
  <c r="AY102" i="3"/>
  <c r="AY103" i="3"/>
  <c r="AY104" i="3"/>
  <c r="AY105" i="3"/>
  <c r="AY2" i="2"/>
  <c r="AY3" i="2"/>
  <c r="AY4" i="2"/>
  <c r="AY5" i="2"/>
  <c r="AY6" i="2"/>
  <c r="AY7" i="2"/>
  <c r="AY8" i="2"/>
  <c r="AY9" i="2"/>
  <c r="AY10" i="2"/>
  <c r="AY11" i="2"/>
  <c r="AY12" i="2"/>
  <c r="AY13" i="2"/>
  <c r="AY14" i="2"/>
  <c r="AY15" i="2"/>
  <c r="AY16" i="2"/>
  <c r="AY17" i="2"/>
  <c r="AY18" i="2"/>
  <c r="AY19" i="2"/>
  <c r="AY20" i="2"/>
  <c r="AY21" i="2"/>
  <c r="AY22" i="2"/>
  <c r="AY23" i="2"/>
  <c r="AY24" i="2"/>
  <c r="AY25" i="2"/>
  <c r="AY26" i="2"/>
  <c r="AY27" i="2"/>
  <c r="AY28" i="2"/>
  <c r="AY29" i="2"/>
  <c r="AY30" i="2"/>
  <c r="AY31" i="2"/>
  <c r="AY32" i="2"/>
  <c r="AY33" i="2"/>
  <c r="AY34" i="2"/>
  <c r="AY35" i="2"/>
  <c r="AY36" i="2"/>
  <c r="AY37" i="2"/>
  <c r="AY38" i="2"/>
  <c r="AY39" i="2"/>
  <c r="AY40" i="2"/>
  <c r="AY41" i="2"/>
  <c r="AY42" i="2"/>
  <c r="AY43" i="2"/>
  <c r="AY44" i="2"/>
  <c r="AY45" i="2"/>
  <c r="AY46" i="2"/>
  <c r="AY47" i="2"/>
  <c r="AY48" i="2"/>
  <c r="AY49" i="2"/>
  <c r="AY50" i="2"/>
  <c r="AY51" i="2"/>
  <c r="AY52" i="2"/>
  <c r="AY53" i="2"/>
  <c r="AY54" i="2"/>
  <c r="AY55" i="2"/>
  <c r="AY56" i="2"/>
  <c r="AY57" i="2"/>
  <c r="AY58" i="2"/>
  <c r="AY59" i="2"/>
  <c r="AY60" i="2"/>
  <c r="AY61" i="2"/>
  <c r="AY62" i="2"/>
  <c r="AY63" i="2"/>
  <c r="AY64" i="2"/>
  <c r="AY65" i="2"/>
  <c r="AY66" i="2"/>
  <c r="AY67" i="2"/>
  <c r="AY68" i="2"/>
  <c r="AY69" i="2"/>
  <c r="AY70" i="2"/>
  <c r="AY71" i="2"/>
  <c r="AY72" i="2"/>
  <c r="AY73" i="2"/>
  <c r="AY74" i="2"/>
  <c r="AY75" i="2"/>
  <c r="AY76" i="2"/>
  <c r="AY77" i="2"/>
  <c r="AY78" i="2"/>
  <c r="AY79" i="2"/>
  <c r="AY80" i="2"/>
  <c r="AY81" i="2"/>
  <c r="AY82" i="2"/>
  <c r="AY83" i="2"/>
  <c r="AY84" i="2"/>
  <c r="AY85" i="2"/>
  <c r="AY86" i="2"/>
  <c r="AY87" i="2"/>
  <c r="AY88" i="2"/>
  <c r="AY89" i="2"/>
  <c r="AY90" i="2"/>
  <c r="AY91" i="2"/>
  <c r="AY92" i="2"/>
  <c r="AY93" i="2"/>
  <c r="AY94" i="2"/>
  <c r="AY95" i="2"/>
  <c r="AY96" i="2"/>
  <c r="AY97" i="2"/>
  <c r="AY98" i="2"/>
  <c r="AY99" i="2"/>
  <c r="AY100" i="2"/>
  <c r="AY101" i="2"/>
  <c r="AY102" i="2"/>
  <c r="AY103" i="2"/>
  <c r="AY104" i="2"/>
  <c r="AY105" i="2"/>
  <c r="G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2"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AO2" i="4"/>
  <c r="AO3" i="4"/>
  <c r="AO4" i="4"/>
  <c r="AO5"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52" i="4"/>
  <c r="AO53" i="4"/>
  <c r="AO54" i="4"/>
  <c r="AO55" i="4"/>
  <c r="AO56" i="4"/>
  <c r="AO57" i="4"/>
  <c r="AO58" i="4"/>
  <c r="AO59" i="4"/>
  <c r="AO60" i="4"/>
  <c r="AO61" i="4"/>
  <c r="AO62" i="4"/>
  <c r="AO63" i="4"/>
  <c r="AO64" i="4"/>
  <c r="AO65" i="4"/>
  <c r="AO66" i="4"/>
  <c r="AO67" i="4"/>
  <c r="AO68" i="4"/>
  <c r="AO69" i="4"/>
  <c r="AO70" i="4"/>
  <c r="AO71" i="4"/>
  <c r="AO72" i="4"/>
  <c r="AO73" i="4"/>
  <c r="AO74" i="4"/>
  <c r="AO75" i="4"/>
  <c r="AO76" i="4"/>
  <c r="AO77" i="4"/>
  <c r="AO78" i="4"/>
  <c r="AO79" i="4"/>
  <c r="AO80" i="4"/>
  <c r="AO81" i="4"/>
  <c r="AO82" i="4"/>
  <c r="AO83" i="4"/>
  <c r="AO84" i="4"/>
  <c r="AO85" i="4"/>
  <c r="AO86" i="4"/>
  <c r="AO87" i="4"/>
  <c r="AO88" i="4"/>
  <c r="AO89" i="4"/>
  <c r="AO90" i="4"/>
  <c r="AO91" i="4"/>
  <c r="AO92" i="4"/>
  <c r="AO93" i="4"/>
  <c r="AO94" i="4"/>
  <c r="AO95" i="4"/>
  <c r="AO96" i="4"/>
  <c r="AO97" i="4"/>
  <c r="AO98" i="4"/>
  <c r="AO99" i="4"/>
  <c r="AO100" i="4"/>
  <c r="AO101" i="4"/>
  <c r="AO102" i="4"/>
  <c r="AO103" i="4"/>
  <c r="AO104" i="4"/>
  <c r="AO105" i="4"/>
  <c r="AN2" i="4"/>
  <c r="AN3" i="4"/>
  <c r="AN4" i="4"/>
  <c r="AN5" i="4"/>
  <c r="AN6" i="4"/>
  <c r="AN7" i="4"/>
  <c r="AN8" i="4"/>
  <c r="AN9"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36" i="4"/>
  <c r="AN37" i="4"/>
  <c r="AN38" i="4"/>
  <c r="AN39" i="4"/>
  <c r="AN40" i="4"/>
  <c r="AN41" i="4"/>
  <c r="AN42" i="4"/>
  <c r="AN43" i="4"/>
  <c r="AN44" i="4"/>
  <c r="AN45" i="4"/>
  <c r="AN46" i="4"/>
  <c r="AN47" i="4"/>
  <c r="AN48" i="4"/>
  <c r="AN49" i="4"/>
  <c r="AN50" i="4"/>
  <c r="AN51" i="4"/>
  <c r="AN52" i="4"/>
  <c r="AN53" i="4"/>
  <c r="AN54" i="4"/>
  <c r="AN55" i="4"/>
  <c r="AN56" i="4"/>
  <c r="AN57" i="4"/>
  <c r="AN58" i="4"/>
  <c r="AN59" i="4"/>
  <c r="AN60" i="4"/>
  <c r="AN61" i="4"/>
  <c r="AN62" i="4"/>
  <c r="AN63" i="4"/>
  <c r="AN64" i="4"/>
  <c r="AN65" i="4"/>
  <c r="AN66" i="4"/>
  <c r="AN67" i="4"/>
  <c r="AN68" i="4"/>
  <c r="AN69" i="4"/>
  <c r="AN70" i="4"/>
  <c r="AN71" i="4"/>
  <c r="AN72" i="4"/>
  <c r="AN73" i="4"/>
  <c r="AN74" i="4"/>
  <c r="AN75" i="4"/>
  <c r="AN76" i="4"/>
  <c r="AN77" i="4"/>
  <c r="AN78" i="4"/>
  <c r="AN79" i="4"/>
  <c r="AN80" i="4"/>
  <c r="AN81" i="4"/>
  <c r="AN82" i="4"/>
  <c r="AN83" i="4"/>
  <c r="AN84" i="4"/>
  <c r="AN85" i="4"/>
  <c r="AN86" i="4"/>
  <c r="AN87" i="4"/>
  <c r="AN88" i="4"/>
  <c r="AN89" i="4"/>
  <c r="AN90" i="4"/>
  <c r="AN91" i="4"/>
  <c r="AN92" i="4"/>
  <c r="AN93" i="4"/>
  <c r="AN94" i="4"/>
  <c r="AN95" i="4"/>
  <c r="AN96" i="4"/>
  <c r="AN97" i="4"/>
  <c r="AN98" i="4"/>
  <c r="AN99" i="4"/>
  <c r="AN100" i="4"/>
  <c r="AN101" i="4"/>
  <c r="AN102" i="4"/>
  <c r="AN103" i="4"/>
  <c r="AN104" i="4"/>
  <c r="AN105" i="4"/>
  <c r="AW2" i="3"/>
  <c r="AW3" i="3"/>
  <c r="AW4" i="3"/>
  <c r="AW5" i="3"/>
  <c r="AW6" i="3"/>
  <c r="AW7" i="3"/>
  <c r="AW8" i="3"/>
  <c r="AW9" i="3"/>
  <c r="AW10" i="3"/>
  <c r="AW11" i="3"/>
  <c r="AW12" i="3"/>
  <c r="AW13" i="3"/>
  <c r="AW14" i="3"/>
  <c r="AW15" i="3"/>
  <c r="AW16" i="3"/>
  <c r="AW17" i="3"/>
  <c r="AW18" i="3"/>
  <c r="AW19" i="3"/>
  <c r="AW20" i="3"/>
  <c r="AW21" i="3"/>
  <c r="AW22" i="3"/>
  <c r="AW23" i="3"/>
  <c r="AW24" i="3"/>
  <c r="AW25" i="3"/>
  <c r="AW26" i="3"/>
  <c r="AW27" i="3"/>
  <c r="AW28" i="3"/>
  <c r="AW29" i="3"/>
  <c r="AW30" i="3"/>
  <c r="AW31" i="3"/>
  <c r="AW32" i="3"/>
  <c r="AW33" i="3"/>
  <c r="AW34" i="3"/>
  <c r="AW35" i="3"/>
  <c r="AW36" i="3"/>
  <c r="AW37" i="3"/>
  <c r="AW38" i="3"/>
  <c r="AW39" i="3"/>
  <c r="AW40" i="3"/>
  <c r="AW41" i="3"/>
  <c r="AW42" i="3"/>
  <c r="AW43" i="3"/>
  <c r="AW44" i="3"/>
  <c r="AW45" i="3"/>
  <c r="AW46" i="3"/>
  <c r="AW47" i="3"/>
  <c r="AW48" i="3"/>
  <c r="AW49" i="3"/>
  <c r="AW50" i="3"/>
  <c r="AW51" i="3"/>
  <c r="AW52" i="3"/>
  <c r="AW53" i="3"/>
  <c r="AW54" i="3"/>
  <c r="AW55" i="3"/>
  <c r="AW56" i="3"/>
  <c r="AW57" i="3"/>
  <c r="AW58" i="3"/>
  <c r="AW59" i="3"/>
  <c r="AW60" i="3"/>
  <c r="AW61" i="3"/>
  <c r="AW62" i="3"/>
  <c r="AW63" i="3"/>
  <c r="AW64" i="3"/>
  <c r="AW65" i="3"/>
  <c r="AW66" i="3"/>
  <c r="AW67" i="3"/>
  <c r="AW68" i="3"/>
  <c r="AW69" i="3"/>
  <c r="AW70" i="3"/>
  <c r="AW71" i="3"/>
  <c r="AW72" i="3"/>
  <c r="AW73" i="3"/>
  <c r="AW74" i="3"/>
  <c r="AW75" i="3"/>
  <c r="AW76" i="3"/>
  <c r="AW77" i="3"/>
  <c r="AW78" i="3"/>
  <c r="AW79" i="3"/>
  <c r="AW80" i="3"/>
  <c r="AW81" i="3"/>
  <c r="AW82" i="3"/>
  <c r="AW83" i="3"/>
  <c r="AW84" i="3"/>
  <c r="AW85" i="3"/>
  <c r="AW86" i="3"/>
  <c r="AW87" i="3"/>
  <c r="AW88" i="3"/>
  <c r="AW89" i="3"/>
  <c r="AW90" i="3"/>
  <c r="AW91" i="3"/>
  <c r="AW92" i="3"/>
  <c r="AW93" i="3"/>
  <c r="AW94" i="3"/>
  <c r="AW95" i="3"/>
  <c r="AW96" i="3"/>
  <c r="AW97" i="3"/>
  <c r="AW98" i="3"/>
  <c r="AW99" i="3"/>
  <c r="AW100" i="3"/>
  <c r="AW101" i="3"/>
  <c r="AW102" i="3"/>
  <c r="AW103" i="3"/>
  <c r="AW104" i="3"/>
  <c r="AW105" i="3"/>
  <c r="AV2" i="3"/>
  <c r="AX2" i="3" s="1"/>
  <c r="AV3" i="3"/>
  <c r="AV4" i="3"/>
  <c r="AV5" i="3"/>
  <c r="AV6" i="3"/>
  <c r="AV7" i="3"/>
  <c r="AV8" i="3"/>
  <c r="AV9" i="3"/>
  <c r="AV10" i="3"/>
  <c r="AV11" i="3"/>
  <c r="AV12" i="3"/>
  <c r="AV13" i="3"/>
  <c r="AV14" i="3"/>
  <c r="AX14" i="3" s="1"/>
  <c r="AV15" i="3"/>
  <c r="AV16" i="3"/>
  <c r="AV17" i="3"/>
  <c r="AV18" i="3"/>
  <c r="AV19" i="3"/>
  <c r="AV20" i="3"/>
  <c r="AV21" i="3"/>
  <c r="AV22" i="3"/>
  <c r="AV23" i="3"/>
  <c r="AV24" i="3"/>
  <c r="AV25" i="3"/>
  <c r="AV26" i="3"/>
  <c r="AX26" i="3" s="1"/>
  <c r="AV27" i="3"/>
  <c r="AV28" i="3"/>
  <c r="AV29" i="3"/>
  <c r="AV30" i="3"/>
  <c r="AV31" i="3"/>
  <c r="AV32" i="3"/>
  <c r="AV33" i="3"/>
  <c r="AV34" i="3"/>
  <c r="AV35" i="3"/>
  <c r="AV36" i="3"/>
  <c r="AV37" i="3"/>
  <c r="AV38" i="3"/>
  <c r="AX38" i="3" s="1"/>
  <c r="AV39" i="3"/>
  <c r="AV40" i="3"/>
  <c r="AV41" i="3"/>
  <c r="AV42" i="3"/>
  <c r="AV43" i="3"/>
  <c r="AV44" i="3"/>
  <c r="AV45" i="3"/>
  <c r="AV46" i="3"/>
  <c r="AV47" i="3"/>
  <c r="AV48" i="3"/>
  <c r="AV49" i="3"/>
  <c r="AV50" i="3"/>
  <c r="AX50" i="3" s="1"/>
  <c r="AV51" i="3"/>
  <c r="AV52" i="3"/>
  <c r="AV53" i="3"/>
  <c r="AV54" i="3"/>
  <c r="AV55" i="3"/>
  <c r="AV56" i="3"/>
  <c r="AV57" i="3"/>
  <c r="AV58" i="3"/>
  <c r="AV59" i="3"/>
  <c r="AV60" i="3"/>
  <c r="AV61" i="3"/>
  <c r="AV62" i="3"/>
  <c r="AX62" i="3" s="1"/>
  <c r="AV63" i="3"/>
  <c r="AV64" i="3"/>
  <c r="AV65" i="3"/>
  <c r="AV66" i="3"/>
  <c r="AV67" i="3"/>
  <c r="AV68" i="3"/>
  <c r="AV69" i="3"/>
  <c r="AV70" i="3"/>
  <c r="AV71" i="3"/>
  <c r="AV72" i="3"/>
  <c r="AV73" i="3"/>
  <c r="AV74" i="3"/>
  <c r="AX74" i="3" s="1"/>
  <c r="AV75" i="3"/>
  <c r="AV76" i="3"/>
  <c r="AV77" i="3"/>
  <c r="AV78" i="3"/>
  <c r="AV79" i="3"/>
  <c r="AV80" i="3"/>
  <c r="AV81" i="3"/>
  <c r="AV82" i="3"/>
  <c r="AV83" i="3"/>
  <c r="AV84" i="3"/>
  <c r="AV85" i="3"/>
  <c r="AV86" i="3"/>
  <c r="AX86" i="3" s="1"/>
  <c r="AV87" i="3"/>
  <c r="AV88" i="3"/>
  <c r="AV89" i="3"/>
  <c r="AV90" i="3"/>
  <c r="AV91" i="3"/>
  <c r="AV92" i="3"/>
  <c r="AV93" i="3"/>
  <c r="AV94" i="3"/>
  <c r="AV95" i="3"/>
  <c r="AV96" i="3"/>
  <c r="AV97" i="3"/>
  <c r="AV98" i="3"/>
  <c r="AX98" i="3" s="1"/>
  <c r="AV99" i="3"/>
  <c r="AV100" i="3"/>
  <c r="AV101" i="3"/>
  <c r="AV102" i="3"/>
  <c r="AV103" i="3"/>
  <c r="AV104" i="3"/>
  <c r="AV105" i="3"/>
  <c r="AW2" i="2"/>
  <c r="AW3" i="2"/>
  <c r="AW4" i="2"/>
  <c r="AW5" i="2"/>
  <c r="AW6" i="2"/>
  <c r="AW7" i="2"/>
  <c r="AW8" i="2"/>
  <c r="AW9" i="2"/>
  <c r="AW10" i="2"/>
  <c r="AW11" i="2"/>
  <c r="AW12" i="2"/>
  <c r="AW13" i="2"/>
  <c r="AW14" i="2"/>
  <c r="AW15" i="2"/>
  <c r="AW16" i="2"/>
  <c r="AW17" i="2"/>
  <c r="AW18" i="2"/>
  <c r="AW19" i="2"/>
  <c r="AW20" i="2"/>
  <c r="AW21" i="2"/>
  <c r="AW22" i="2"/>
  <c r="AW23" i="2"/>
  <c r="AW24" i="2"/>
  <c r="AW25" i="2"/>
  <c r="AW26" i="2"/>
  <c r="AW27" i="2"/>
  <c r="AW28" i="2"/>
  <c r="AW29" i="2"/>
  <c r="AW30" i="2"/>
  <c r="AW31" i="2"/>
  <c r="AW32" i="2"/>
  <c r="AW33" i="2"/>
  <c r="AW34" i="2"/>
  <c r="AW35" i="2"/>
  <c r="AW36" i="2"/>
  <c r="AW37" i="2"/>
  <c r="AW38" i="2"/>
  <c r="AW39" i="2"/>
  <c r="AW40" i="2"/>
  <c r="AW41" i="2"/>
  <c r="AW42" i="2"/>
  <c r="AW43" i="2"/>
  <c r="AW44" i="2"/>
  <c r="AW45" i="2"/>
  <c r="AW46" i="2"/>
  <c r="AW47" i="2"/>
  <c r="AW48" i="2"/>
  <c r="AW49" i="2"/>
  <c r="AW50" i="2"/>
  <c r="AW51" i="2"/>
  <c r="AW52" i="2"/>
  <c r="AW53" i="2"/>
  <c r="AW54" i="2"/>
  <c r="AW55" i="2"/>
  <c r="AW56" i="2"/>
  <c r="AW57" i="2"/>
  <c r="AW58" i="2"/>
  <c r="AW59" i="2"/>
  <c r="AW60" i="2"/>
  <c r="AW61" i="2"/>
  <c r="AW62" i="2"/>
  <c r="AW63" i="2"/>
  <c r="AW64" i="2"/>
  <c r="AW65" i="2"/>
  <c r="AW66" i="2"/>
  <c r="AW67" i="2"/>
  <c r="AW68" i="2"/>
  <c r="AW69" i="2"/>
  <c r="AW70" i="2"/>
  <c r="AW71" i="2"/>
  <c r="AW72" i="2"/>
  <c r="AW73" i="2"/>
  <c r="AW74" i="2"/>
  <c r="AW75" i="2"/>
  <c r="AW76" i="2"/>
  <c r="AW77" i="2"/>
  <c r="AW78" i="2"/>
  <c r="AW79" i="2"/>
  <c r="AW80" i="2"/>
  <c r="AW81" i="2"/>
  <c r="AW82" i="2"/>
  <c r="AW83" i="2"/>
  <c r="AW84" i="2"/>
  <c r="AW85" i="2"/>
  <c r="AW86" i="2"/>
  <c r="AW87" i="2"/>
  <c r="AW88" i="2"/>
  <c r="AW89" i="2"/>
  <c r="AW90" i="2"/>
  <c r="AW91" i="2"/>
  <c r="AW92" i="2"/>
  <c r="AW93" i="2"/>
  <c r="AW94" i="2"/>
  <c r="AW95" i="2"/>
  <c r="AW96" i="2"/>
  <c r="AW97" i="2"/>
  <c r="AW98" i="2"/>
  <c r="AW99" i="2"/>
  <c r="AW100" i="2"/>
  <c r="AW101" i="2"/>
  <c r="AW102" i="2"/>
  <c r="AW103" i="2"/>
  <c r="AW104" i="2"/>
  <c r="AW105" i="2"/>
  <c r="AV2" i="2"/>
  <c r="AV3" i="2"/>
  <c r="AV4" i="2"/>
  <c r="AV5" i="2"/>
  <c r="AV6" i="2"/>
  <c r="AX6" i="2" s="1"/>
  <c r="AV7" i="2"/>
  <c r="AV8" i="2"/>
  <c r="AV9" i="2"/>
  <c r="AV10" i="2"/>
  <c r="AV11" i="2"/>
  <c r="AV12" i="2"/>
  <c r="AV13" i="2"/>
  <c r="AV14" i="2"/>
  <c r="AV15" i="2"/>
  <c r="AV16" i="2"/>
  <c r="AV17" i="2"/>
  <c r="AV18" i="2"/>
  <c r="AX18" i="2" s="1"/>
  <c r="AV19" i="2"/>
  <c r="AV20" i="2"/>
  <c r="AV21" i="2"/>
  <c r="AV22" i="2"/>
  <c r="AV23" i="2"/>
  <c r="AX23" i="2" s="1"/>
  <c r="AV24" i="2"/>
  <c r="AV25" i="2"/>
  <c r="AV26" i="2"/>
  <c r="AV27" i="2"/>
  <c r="AV28" i="2"/>
  <c r="AV29" i="2"/>
  <c r="AV30" i="2"/>
  <c r="AX30" i="2" s="1"/>
  <c r="AV31" i="2"/>
  <c r="AV32" i="2"/>
  <c r="AV33" i="2"/>
  <c r="AV34" i="2"/>
  <c r="AV35" i="2"/>
  <c r="AX35" i="2" s="1"/>
  <c r="AV36" i="2"/>
  <c r="AV37" i="2"/>
  <c r="AV38" i="2"/>
  <c r="AV39" i="2"/>
  <c r="AV40" i="2"/>
  <c r="AV41" i="2"/>
  <c r="AV42" i="2"/>
  <c r="AX42" i="2" s="1"/>
  <c r="AV43" i="2"/>
  <c r="AV44" i="2"/>
  <c r="AV45" i="2"/>
  <c r="AV46" i="2"/>
  <c r="AV47" i="2"/>
  <c r="AX47" i="2" s="1"/>
  <c r="AV48" i="2"/>
  <c r="AV49" i="2"/>
  <c r="AV50" i="2"/>
  <c r="AV51" i="2"/>
  <c r="AV52" i="2"/>
  <c r="AV53" i="2"/>
  <c r="AV54" i="2"/>
  <c r="AX54" i="2" s="1"/>
  <c r="AV55" i="2"/>
  <c r="AV56" i="2"/>
  <c r="AV57" i="2"/>
  <c r="AV58" i="2"/>
  <c r="AV59" i="2"/>
  <c r="AX59" i="2" s="1"/>
  <c r="AV60" i="2"/>
  <c r="AV61" i="2"/>
  <c r="AV62" i="2"/>
  <c r="AV63" i="2"/>
  <c r="AV64" i="2"/>
  <c r="AV65" i="2"/>
  <c r="AV66" i="2"/>
  <c r="AX66" i="2" s="1"/>
  <c r="AV67" i="2"/>
  <c r="AV68" i="2"/>
  <c r="AV69" i="2"/>
  <c r="AV70" i="2"/>
  <c r="AV71" i="2"/>
  <c r="AX71" i="2" s="1"/>
  <c r="AV72" i="2"/>
  <c r="AV73" i="2"/>
  <c r="AV74" i="2"/>
  <c r="AV75" i="2"/>
  <c r="AV76" i="2"/>
  <c r="AV77" i="2"/>
  <c r="AV78" i="2"/>
  <c r="AX78" i="2" s="1"/>
  <c r="AV79" i="2"/>
  <c r="AV80" i="2"/>
  <c r="AV81" i="2"/>
  <c r="AV82" i="2"/>
  <c r="AV83" i="2"/>
  <c r="AX83" i="2" s="1"/>
  <c r="AV84" i="2"/>
  <c r="AV85" i="2"/>
  <c r="AV86" i="2"/>
  <c r="AV87" i="2"/>
  <c r="AV88" i="2"/>
  <c r="AV89" i="2"/>
  <c r="AV90" i="2"/>
  <c r="AX90" i="2" s="1"/>
  <c r="AV91" i="2"/>
  <c r="AV92" i="2"/>
  <c r="AV93" i="2"/>
  <c r="AV94" i="2"/>
  <c r="AV95" i="2"/>
  <c r="AX95" i="2" s="1"/>
  <c r="AV96" i="2"/>
  <c r="AV97" i="2"/>
  <c r="AV98" i="2"/>
  <c r="AV99" i="2"/>
  <c r="AV100" i="2"/>
  <c r="AV101" i="2"/>
  <c r="AV102" i="2"/>
  <c r="AX102" i="2" s="1"/>
  <c r="AV103" i="2"/>
  <c r="AV104" i="2"/>
  <c r="AV105" i="2"/>
  <c r="BE2" i="1"/>
  <c r="BE3" i="1"/>
  <c r="BE4" i="1"/>
  <c r="BE5" i="1"/>
  <c r="BE6" i="1"/>
  <c r="BE7" i="1"/>
  <c r="BE8"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D2" i="1"/>
  <c r="BD3" i="1"/>
  <c r="BD4" i="1"/>
  <c r="BD5" i="1"/>
  <c r="BD6" i="1"/>
  <c r="BD7" i="1"/>
  <c r="BD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F72" i="1" s="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AP38" i="4" l="1"/>
  <c r="AP96" i="4"/>
  <c r="AP84" i="4"/>
  <c r="AP72" i="4"/>
  <c r="AP60" i="4"/>
  <c r="AP48" i="4"/>
  <c r="AP36" i="4"/>
  <c r="AP24" i="4"/>
  <c r="AP103" i="4"/>
  <c r="AP91" i="4"/>
  <c r="AP79" i="4"/>
  <c r="AP67" i="4"/>
  <c r="AP55" i="4"/>
  <c r="AP43" i="4"/>
  <c r="AP31" i="4"/>
  <c r="BF96" i="1"/>
  <c r="BF84" i="1"/>
  <c r="BF48" i="1"/>
  <c r="BF60" i="1"/>
  <c r="BF36" i="1"/>
  <c r="BF24" i="1"/>
  <c r="AP19" i="4"/>
  <c r="AP7" i="4"/>
  <c r="AP98" i="4"/>
  <c r="AP86" i="4"/>
  <c r="AP74" i="4"/>
  <c r="AP62" i="4"/>
  <c r="AP50" i="4"/>
  <c r="AP26" i="4"/>
  <c r="AP14" i="4"/>
  <c r="AP2" i="4"/>
  <c r="AP104" i="4"/>
  <c r="AP92" i="4"/>
  <c r="AP80" i="4"/>
  <c r="AP68" i="4"/>
  <c r="AP56" i="4"/>
  <c r="AP44" i="4"/>
  <c r="AP32" i="4"/>
  <c r="AP20" i="4"/>
  <c r="AP8" i="4"/>
  <c r="AP102" i="4"/>
  <c r="AP90" i="4"/>
  <c r="AP78" i="4"/>
  <c r="AP66" i="4"/>
  <c r="AP54" i="4"/>
  <c r="AP42" i="4"/>
  <c r="AP30" i="4"/>
  <c r="AP18" i="4"/>
  <c r="AP6" i="4"/>
  <c r="AP101" i="4"/>
  <c r="AP89" i="4"/>
  <c r="AP77" i="4"/>
  <c r="AP65" i="4"/>
  <c r="AP53" i="4"/>
  <c r="AP41" i="4"/>
  <c r="AP29" i="4"/>
  <c r="AP17" i="4"/>
  <c r="AP5" i="4"/>
  <c r="BF12" i="1"/>
  <c r="H106" i="5"/>
  <c r="AP12" i="4"/>
  <c r="AP100" i="4"/>
  <c r="AP88" i="4"/>
  <c r="AP76" i="4"/>
  <c r="AP64" i="4"/>
  <c r="AP52" i="4"/>
  <c r="AP40" i="4"/>
  <c r="AP28" i="4"/>
  <c r="AP16" i="4"/>
  <c r="AP83" i="4"/>
  <c r="AP71" i="4"/>
  <c r="AP59" i="4"/>
  <c r="AP47" i="4"/>
  <c r="AP35" i="4"/>
  <c r="AP23" i="4"/>
  <c r="AP11" i="4"/>
  <c r="AP95" i="4"/>
  <c r="AP94" i="4"/>
  <c r="AP82" i="4"/>
  <c r="AP70" i="4"/>
  <c r="AP58" i="4"/>
  <c r="AP46" i="4"/>
  <c r="AP34" i="4"/>
  <c r="AP22" i="4"/>
  <c r="AP4" i="4"/>
  <c r="AP73" i="4"/>
  <c r="AP61" i="4"/>
  <c r="AP49" i="4"/>
  <c r="AP37" i="4"/>
  <c r="AP25" i="4"/>
  <c r="AP13" i="4"/>
  <c r="AP105" i="4"/>
  <c r="AP93" i="4"/>
  <c r="AP81" i="4"/>
  <c r="AP69" i="4"/>
  <c r="AP57" i="4"/>
  <c r="AP45" i="4"/>
  <c r="AP33" i="4"/>
  <c r="AP21" i="4"/>
  <c r="AP9" i="4"/>
  <c r="AP85" i="4"/>
  <c r="AP10" i="4"/>
  <c r="AP97" i="4"/>
  <c r="AP99" i="4"/>
  <c r="AP87" i="4"/>
  <c r="AP75" i="4"/>
  <c r="AP63" i="4"/>
  <c r="AP51" i="4"/>
  <c r="AP39" i="4"/>
  <c r="AP27" i="4"/>
  <c r="AP15" i="4"/>
  <c r="AP3" i="4"/>
  <c r="AX97" i="3"/>
  <c r="AX85" i="3"/>
  <c r="AX73" i="3"/>
  <c r="AX61" i="3"/>
  <c r="AX49" i="3"/>
  <c r="AX37" i="3"/>
  <c r="AX25" i="3"/>
  <c r="AX13" i="3"/>
  <c r="AX80" i="3"/>
  <c r="AX68" i="3"/>
  <c r="AX104" i="3"/>
  <c r="AX92" i="3"/>
  <c r="AX56" i="3"/>
  <c r="AX91" i="3"/>
  <c r="AX67" i="3"/>
  <c r="AX55" i="3"/>
  <c r="AX43" i="3"/>
  <c r="AX31" i="3"/>
  <c r="AX19" i="3"/>
  <c r="AX7" i="3"/>
  <c r="AX103" i="3"/>
  <c r="AX79" i="3"/>
  <c r="AX102" i="3"/>
  <c r="AX90" i="3"/>
  <c r="AX78" i="3"/>
  <c r="AX96" i="3"/>
  <c r="AX84" i="3"/>
  <c r="AX72" i="3"/>
  <c r="AX60" i="3"/>
  <c r="AX48" i="3"/>
  <c r="AX36" i="3"/>
  <c r="AX24" i="3"/>
  <c r="AX12" i="3"/>
  <c r="AX66" i="3"/>
  <c r="AX54" i="3"/>
  <c r="AX42" i="3"/>
  <c r="AX30" i="3"/>
  <c r="AX18" i="3"/>
  <c r="AO106" i="4"/>
  <c r="AN106" i="4"/>
  <c r="AX44" i="3"/>
  <c r="AX32" i="3"/>
  <c r="AX20" i="3"/>
  <c r="AX8" i="3"/>
  <c r="AX100" i="3"/>
  <c r="AX88" i="3"/>
  <c r="AX76" i="3"/>
  <c r="AX64" i="3"/>
  <c r="AX52" i="3"/>
  <c r="AX40" i="3"/>
  <c r="AX28" i="3"/>
  <c r="AX16" i="3"/>
  <c r="AX4" i="3"/>
  <c r="AW106" i="3"/>
  <c r="AX77" i="3"/>
  <c r="AX65" i="3"/>
  <c r="AX53" i="3"/>
  <c r="AX41" i="3"/>
  <c r="AX29" i="3"/>
  <c r="AX17" i="3"/>
  <c r="AX5" i="3"/>
  <c r="AX101" i="3"/>
  <c r="AX89" i="3"/>
  <c r="AX94" i="3"/>
  <c r="AX82" i="3"/>
  <c r="AX70" i="3"/>
  <c r="AX58" i="3"/>
  <c r="AX46" i="3"/>
  <c r="AX34" i="3"/>
  <c r="AX22" i="3"/>
  <c r="AX10" i="3"/>
  <c r="AX105" i="3"/>
  <c r="AX93" i="3"/>
  <c r="AX81" i="3"/>
  <c r="AX69" i="3"/>
  <c r="AX57" i="3"/>
  <c r="AX45" i="3"/>
  <c r="AX33" i="3"/>
  <c r="AX21" i="3"/>
  <c r="AX9" i="3"/>
  <c r="AX96" i="2"/>
  <c r="AX84" i="2"/>
  <c r="AX72" i="2"/>
  <c r="AX60" i="2"/>
  <c r="AX48" i="2"/>
  <c r="AX36" i="2"/>
  <c r="AX24" i="2"/>
  <c r="AX12" i="2"/>
  <c r="AX104" i="2"/>
  <c r="AX92" i="2"/>
  <c r="AX80" i="2"/>
  <c r="AX68" i="2"/>
  <c r="AX56" i="2"/>
  <c r="AX44" i="2"/>
  <c r="AX32" i="2"/>
  <c r="AX20" i="2"/>
  <c r="AX8" i="2"/>
  <c r="AX103" i="2"/>
  <c r="AX91" i="2"/>
  <c r="AX79" i="2"/>
  <c r="AX67" i="2"/>
  <c r="AX55" i="2"/>
  <c r="AX43" i="2"/>
  <c r="AX31" i="2"/>
  <c r="AX19" i="2"/>
  <c r="AX7" i="2"/>
  <c r="AX97" i="2"/>
  <c r="AX85" i="2"/>
  <c r="AX73" i="2"/>
  <c r="AX61" i="2"/>
  <c r="AX49" i="2"/>
  <c r="AX37" i="2"/>
  <c r="AX25" i="2"/>
  <c r="AX13" i="2"/>
  <c r="AX100" i="2"/>
  <c r="AX88" i="2"/>
  <c r="AX76" i="2"/>
  <c r="AX64" i="2"/>
  <c r="AX52" i="2"/>
  <c r="AX40" i="2"/>
  <c r="AX28" i="2"/>
  <c r="AX16" i="2"/>
  <c r="AX4" i="2"/>
  <c r="AW106" i="2"/>
  <c r="AX98" i="2"/>
  <c r="AX86" i="2"/>
  <c r="AX74" i="2"/>
  <c r="AX62" i="2"/>
  <c r="AX50" i="2"/>
  <c r="AX38" i="2"/>
  <c r="AX26" i="2"/>
  <c r="AX14" i="2"/>
  <c r="AX2" i="2"/>
  <c r="AX94" i="2"/>
  <c r="AX82" i="2"/>
  <c r="AX70" i="2"/>
  <c r="AX58" i="2"/>
  <c r="AX46" i="2"/>
  <c r="AX34" i="2"/>
  <c r="AX22" i="2"/>
  <c r="AX10" i="2"/>
  <c r="AX11" i="2"/>
  <c r="AX99" i="2"/>
  <c r="AX75" i="2"/>
  <c r="AX51" i="2"/>
  <c r="AX27" i="2"/>
  <c r="AX15" i="2"/>
  <c r="AX3" i="2"/>
  <c r="AX87" i="2"/>
  <c r="AX63" i="2"/>
  <c r="AX89" i="2"/>
  <c r="AX77" i="2"/>
  <c r="AX53" i="2"/>
  <c r="AX41" i="2"/>
  <c r="AX29" i="2"/>
  <c r="AX17" i="2"/>
  <c r="AX5" i="2"/>
  <c r="AV106" i="2"/>
  <c r="AX39" i="2"/>
  <c r="AX101" i="2"/>
  <c r="AX65" i="2"/>
  <c r="AX105" i="2"/>
  <c r="AX93" i="2"/>
  <c r="AX81" i="2"/>
  <c r="AX69" i="2"/>
  <c r="AX57" i="2"/>
  <c r="AX45" i="2"/>
  <c r="AX33" i="2"/>
  <c r="AX21" i="2"/>
  <c r="AX9" i="2"/>
  <c r="BF87" i="1"/>
  <c r="BF75" i="1"/>
  <c r="BF63" i="1"/>
  <c r="BF51" i="1"/>
  <c r="BF39" i="1"/>
  <c r="BF27" i="1"/>
  <c r="BF15" i="1"/>
  <c r="BF94" i="1"/>
  <c r="BF70" i="1"/>
  <c r="BF46" i="1"/>
  <c r="BF22" i="1"/>
  <c r="BF82" i="1"/>
  <c r="BF58" i="1"/>
  <c r="BF34" i="1"/>
  <c r="BF10" i="1"/>
  <c r="BF95" i="1"/>
  <c r="BF83" i="1"/>
  <c r="BF71" i="1"/>
  <c r="BF59" i="1"/>
  <c r="BF47" i="1"/>
  <c r="BF35" i="1"/>
  <c r="BF23" i="1"/>
  <c r="BF93" i="1"/>
  <c r="BF21" i="1"/>
  <c r="BF105" i="1"/>
  <c r="BF57" i="1"/>
  <c r="BF45" i="1"/>
  <c r="BF69" i="1"/>
  <c r="BF9" i="1"/>
  <c r="BF98" i="1"/>
  <c r="BF86" i="1"/>
  <c r="BF74" i="1"/>
  <c r="BF62" i="1"/>
  <c r="BF50" i="1"/>
  <c r="BF38" i="1"/>
  <c r="BF26" i="1"/>
  <c r="BF14" i="1"/>
  <c r="BF2" i="1"/>
  <c r="BF81" i="1"/>
  <c r="BF33" i="1"/>
  <c r="BF99" i="1"/>
  <c r="BF66" i="1"/>
  <c r="BF54" i="1"/>
  <c r="BF18" i="1"/>
  <c r="BF6" i="1"/>
  <c r="BF78" i="1"/>
  <c r="BF30" i="1"/>
  <c r="BF89" i="1"/>
  <c r="BF77" i="1"/>
  <c r="BF53" i="1"/>
  <c r="BF41" i="1"/>
  <c r="BF29" i="1"/>
  <c r="BF17" i="1"/>
  <c r="BF5" i="1"/>
  <c r="BF97" i="1"/>
  <c r="BF85" i="1"/>
  <c r="BF73" i="1"/>
  <c r="BF61" i="1"/>
  <c r="BF49" i="1"/>
  <c r="BF37" i="1"/>
  <c r="BF25" i="1"/>
  <c r="BF13" i="1"/>
  <c r="BF90" i="1"/>
  <c r="BF42" i="1"/>
  <c r="BF101" i="1"/>
  <c r="BF65" i="1"/>
  <c r="BF102" i="1"/>
  <c r="BF11" i="1"/>
  <c r="AX83" i="3"/>
  <c r="AX71" i="3"/>
  <c r="AX59" i="3"/>
  <c r="AX47" i="3"/>
  <c r="AX35" i="3"/>
  <c r="AX23" i="3"/>
  <c r="AX11" i="3"/>
  <c r="AX95" i="3"/>
  <c r="AX99" i="3"/>
  <c r="AX87" i="3"/>
  <c r="AX75" i="3"/>
  <c r="AX63" i="3"/>
  <c r="AX51" i="3"/>
  <c r="AX39" i="3"/>
  <c r="AX27" i="3"/>
  <c r="AX15" i="3"/>
  <c r="AX3" i="3"/>
  <c r="AV106" i="3"/>
  <c r="AX6" i="3"/>
  <c r="AP106" i="4" l="1"/>
  <c r="AX106" i="3"/>
  <c r="AX106" i="2"/>
  <c r="BF88" i="1"/>
  <c r="BF76" i="1"/>
  <c r="BF52" i="1"/>
  <c r="BF40" i="1"/>
  <c r="BF28" i="1"/>
  <c r="BF16" i="1"/>
  <c r="BF4" i="1"/>
  <c r="BF100" i="1"/>
  <c r="BF64" i="1"/>
  <c r="BF3" i="1"/>
  <c r="BF104" i="1"/>
  <c r="BF92" i="1"/>
  <c r="BF80" i="1"/>
  <c r="BF68" i="1"/>
  <c r="BF56" i="1"/>
  <c r="BF44" i="1"/>
  <c r="BF32" i="1"/>
  <c r="BF20" i="1"/>
  <c r="BF8" i="1"/>
  <c r="BF103" i="1"/>
  <c r="BF91" i="1"/>
  <c r="BF79" i="1"/>
  <c r="BF67" i="1"/>
  <c r="BF55" i="1"/>
  <c r="BF43" i="1"/>
  <c r="BF31" i="1"/>
  <c r="BF19" i="1"/>
  <c r="BF7" i="1"/>
  <c r="BD106" i="1"/>
  <c r="BE106" i="1"/>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S40" i="4"/>
  <c r="AE40" i="4" s="1"/>
  <c r="S41" i="4"/>
  <c r="T41" i="4" s="1"/>
  <c r="S42" i="4"/>
  <c r="AA42" i="4" s="1"/>
  <c r="S43" i="4"/>
  <c r="AC43" i="4" s="1"/>
  <c r="S44" i="4"/>
  <c r="T44" i="4" s="1"/>
  <c r="S45" i="4"/>
  <c r="V45" i="4" s="1"/>
  <c r="S46" i="4"/>
  <c r="V46" i="4" s="1"/>
  <c r="S47" i="4"/>
  <c r="AI47" i="4" s="1"/>
  <c r="S48" i="4"/>
  <c r="T48" i="4" s="1"/>
  <c r="S49" i="4"/>
  <c r="AC49" i="4" s="1"/>
  <c r="S50" i="4"/>
  <c r="T50" i="4" s="1"/>
  <c r="S51" i="4"/>
  <c r="T51" i="4" s="1"/>
  <c r="S52" i="4"/>
  <c r="AI52" i="4" s="1"/>
  <c r="S53" i="4"/>
  <c r="AK53" i="4" s="1"/>
  <c r="S54" i="4"/>
  <c r="AE54" i="4" s="1"/>
  <c r="S55" i="4"/>
  <c r="T55" i="4" s="1"/>
  <c r="S56" i="4"/>
  <c r="AA56" i="4" s="1"/>
  <c r="S57" i="4"/>
  <c r="V57" i="4" s="1"/>
  <c r="S58" i="4"/>
  <c r="V58" i="4" s="1"/>
  <c r="S59" i="4"/>
  <c r="AK59" i="4" s="1"/>
  <c r="S60" i="4"/>
  <c r="T60" i="4" s="1"/>
  <c r="S61" i="4"/>
  <c r="AC61" i="4" s="1"/>
  <c r="S62" i="4"/>
  <c r="AG62" i="4" s="1"/>
  <c r="S63" i="4"/>
  <c r="T63" i="4" s="1"/>
  <c r="S64" i="4"/>
  <c r="T64" i="4" s="1"/>
  <c r="S65" i="4"/>
  <c r="AE65" i="4" s="1"/>
  <c r="S66" i="4"/>
  <c r="AI66" i="4" s="1"/>
  <c r="S67" i="4"/>
  <c r="AA67" i="4" s="1"/>
  <c r="S68" i="4"/>
  <c r="AE68" i="4" s="1"/>
  <c r="S69" i="4"/>
  <c r="T69" i="4" s="1"/>
  <c r="S70" i="4"/>
  <c r="T70" i="4" s="1"/>
  <c r="S71" i="4"/>
  <c r="AE71" i="4" s="1"/>
  <c r="S72" i="4"/>
  <c r="AI72" i="4" s="1"/>
  <c r="S73" i="4"/>
  <c r="T73" i="4" s="1"/>
  <c r="S74" i="4"/>
  <c r="V74" i="4" s="1"/>
  <c r="S75" i="4"/>
  <c r="AI75" i="4" s="1"/>
  <c r="S76" i="4"/>
  <c r="V76" i="4" s="1"/>
  <c r="S77" i="4"/>
  <c r="AE77" i="4" s="1"/>
  <c r="S78" i="4"/>
  <c r="AK78" i="4" s="1"/>
  <c r="S79" i="4"/>
  <c r="AC79" i="4" s="1"/>
  <c r="S80" i="4"/>
  <c r="AI80" i="4" s="1"/>
  <c r="S81" i="4"/>
  <c r="V81" i="4" s="1"/>
  <c r="S82" i="4"/>
  <c r="V82" i="4" s="1"/>
  <c r="S83" i="4"/>
  <c r="AE83" i="4" s="1"/>
  <c r="S84" i="4"/>
  <c r="T84" i="4" s="1"/>
  <c r="S85" i="4"/>
  <c r="AA85" i="4" s="1"/>
  <c r="S86" i="4"/>
  <c r="AG86" i="4" s="1"/>
  <c r="S87" i="4"/>
  <c r="T87" i="4" s="1"/>
  <c r="S88" i="4"/>
  <c r="T88" i="4" s="1"/>
  <c r="S89" i="4"/>
  <c r="T89" i="4" s="1"/>
  <c r="S90" i="4"/>
  <c r="AK90" i="4" s="1"/>
  <c r="S91" i="4"/>
  <c r="AC91" i="4" s="1"/>
  <c r="S92" i="4"/>
  <c r="T92" i="4" s="1"/>
  <c r="S93" i="4"/>
  <c r="V93" i="4" s="1"/>
  <c r="S94" i="4"/>
  <c r="V94" i="4" s="1"/>
  <c r="S95" i="4"/>
  <c r="AE95" i="4" s="1"/>
  <c r="S96" i="4"/>
  <c r="T96" i="4" s="1"/>
  <c r="S97" i="4"/>
  <c r="AE97" i="4" s="1"/>
  <c r="S98" i="4"/>
  <c r="AK98" i="4" s="1"/>
  <c r="S99" i="4"/>
  <c r="T99" i="4" s="1"/>
  <c r="S100" i="4"/>
  <c r="AA100" i="4" s="1"/>
  <c r="S101" i="4"/>
  <c r="AA101" i="4" s="1"/>
  <c r="S102" i="4"/>
  <c r="T102" i="4" s="1"/>
  <c r="S103" i="4"/>
  <c r="AC103" i="4" s="1"/>
  <c r="S104" i="4"/>
  <c r="V104" i="4" s="1"/>
  <c r="S105" i="4"/>
  <c r="V105" i="4" s="1"/>
  <c r="I105" i="3"/>
  <c r="I2" i="3"/>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AL106" i="3"/>
  <c r="F94" i="4"/>
  <c r="F48" i="4"/>
  <c r="F87" i="4"/>
  <c r="F99" i="4"/>
  <c r="F104" i="4"/>
  <c r="F65" i="4"/>
  <c r="F93" i="4"/>
  <c r="F86" i="4"/>
  <c r="F80" i="4"/>
  <c r="F70" i="4"/>
  <c r="F83" i="4"/>
  <c r="F90" i="4"/>
  <c r="F71" i="4"/>
  <c r="F46" i="4"/>
  <c r="F64" i="4"/>
  <c r="F67" i="4"/>
  <c r="F79" i="4"/>
  <c r="F95" i="4"/>
  <c r="F74" i="4"/>
  <c r="F89" i="4"/>
  <c r="F85" i="4"/>
  <c r="F42" i="4"/>
  <c r="F103" i="4"/>
  <c r="F88" i="4"/>
  <c r="F76" i="4"/>
  <c r="F98" i="4"/>
  <c r="F60" i="4"/>
  <c r="F105" i="4"/>
  <c r="F62" i="4"/>
  <c r="F73" i="4"/>
  <c r="F66" i="4"/>
  <c r="F47" i="4"/>
  <c r="F101" i="4"/>
  <c r="F44" i="4"/>
  <c r="F68" i="4"/>
  <c r="F55" i="4"/>
  <c r="F72" i="4"/>
  <c r="F52" i="4"/>
  <c r="F59" i="4"/>
  <c r="F61" i="4"/>
  <c r="F56" i="4"/>
  <c r="F92" i="4"/>
  <c r="F53" i="4"/>
  <c r="F50" i="4"/>
  <c r="F57" i="4"/>
  <c r="F40" i="4"/>
  <c r="F43" i="4"/>
  <c r="F97" i="4"/>
  <c r="F77" i="4"/>
  <c r="F63" i="4"/>
  <c r="F84" i="4"/>
  <c r="F41" i="4"/>
  <c r="F78" i="4"/>
  <c r="F102" i="4"/>
  <c r="F51" i="4"/>
  <c r="F91" i="4"/>
  <c r="F69" i="4"/>
  <c r="F54" i="4"/>
  <c r="F45" i="4"/>
  <c r="F58" i="4"/>
  <c r="F96" i="4"/>
  <c r="F82" i="4"/>
  <c r="F75" i="4"/>
  <c r="F81" i="4"/>
  <c r="F49" i="4"/>
  <c r="F100" i="4"/>
  <c r="AB143" i="3" l="1"/>
  <c r="T47" i="4"/>
  <c r="T46" i="4"/>
  <c r="AG47" i="4"/>
  <c r="AC98" i="4"/>
  <c r="AG53" i="4"/>
  <c r="AI89" i="4"/>
  <c r="AG51" i="4"/>
  <c r="AC75" i="4"/>
  <c r="V62" i="4"/>
  <c r="AK41" i="4"/>
  <c r="AK40" i="4"/>
  <c r="AI90" i="4"/>
  <c r="AI65" i="4"/>
  <c r="AI53" i="4"/>
  <c r="AA46" i="4"/>
  <c r="AI45" i="4"/>
  <c r="AG92" i="4"/>
  <c r="T56" i="4"/>
  <c r="AC71" i="4"/>
  <c r="AA83" i="4"/>
  <c r="AI46" i="4"/>
  <c r="AG78" i="4"/>
  <c r="T54" i="4"/>
  <c r="AI103" i="4"/>
  <c r="AG46" i="4"/>
  <c r="AC62" i="4"/>
  <c r="AG50" i="4"/>
  <c r="AC50" i="4"/>
  <c r="AI74" i="4"/>
  <c r="AE98" i="4"/>
  <c r="AA82" i="4"/>
  <c r="AA86" i="4"/>
  <c r="AK86" i="4"/>
  <c r="AI50" i="4"/>
  <c r="AE88" i="4"/>
  <c r="AA62" i="4"/>
  <c r="AK74" i="4"/>
  <c r="AE62" i="4"/>
  <c r="AK50" i="4"/>
  <c r="AE49" i="4"/>
  <c r="V86" i="4"/>
  <c r="AG74" i="4"/>
  <c r="AC74" i="4"/>
  <c r="AI100" i="4"/>
  <c r="BF106" i="1"/>
  <c r="AI82" i="4"/>
  <c r="V59" i="4"/>
  <c r="AG69" i="4"/>
  <c r="AC59" i="4"/>
  <c r="V49" i="4"/>
  <c r="AK82" i="4"/>
  <c r="AG65" i="4"/>
  <c r="AE70" i="4"/>
  <c r="T80" i="4"/>
  <c r="AG72" i="4"/>
  <c r="AC60" i="4"/>
  <c r="AI79" i="4"/>
  <c r="AE80" i="4"/>
  <c r="AK76" i="4"/>
  <c r="AI70" i="4"/>
  <c r="AG58" i="4"/>
  <c r="AE69" i="4"/>
  <c r="AA104" i="4"/>
  <c r="T79" i="4"/>
  <c r="AG48" i="4"/>
  <c r="AC96" i="4"/>
  <c r="AA68" i="4"/>
  <c r="AE92" i="4"/>
  <c r="AK104" i="4"/>
  <c r="AI81" i="4"/>
  <c r="AG45" i="4"/>
  <c r="AE64" i="4"/>
  <c r="AC57" i="4"/>
  <c r="AK52" i="4"/>
  <c r="AG104" i="4"/>
  <c r="AG64" i="4"/>
  <c r="AG44" i="4"/>
  <c r="AC90" i="4"/>
  <c r="AC51" i="4"/>
  <c r="AA59" i="4"/>
  <c r="T95" i="4"/>
  <c r="AK64" i="4"/>
  <c r="AC93" i="4"/>
  <c r="AG100" i="4"/>
  <c r="AG63" i="4"/>
  <c r="AG40" i="4"/>
  <c r="AE59" i="4"/>
  <c r="AC87" i="4"/>
  <c r="AA58" i="4"/>
  <c r="T93" i="4"/>
  <c r="AG105" i="4"/>
  <c r="V47" i="4"/>
  <c r="AI71" i="4"/>
  <c r="AG99" i="4"/>
  <c r="AG59" i="4"/>
  <c r="AE105" i="4"/>
  <c r="AE58" i="4"/>
  <c r="AC81" i="4"/>
  <c r="AC45" i="4"/>
  <c r="AA47" i="4"/>
  <c r="T81" i="4"/>
  <c r="AA105" i="4"/>
  <c r="AK95" i="4"/>
  <c r="AC95" i="4"/>
  <c r="AG93" i="4"/>
  <c r="AG57" i="4"/>
  <c r="AE47" i="4"/>
  <c r="AK92" i="4"/>
  <c r="AI101" i="4"/>
  <c r="AI64" i="4"/>
  <c r="AG87" i="4"/>
  <c r="AE89" i="4"/>
  <c r="AE45" i="4"/>
  <c r="AC72" i="4"/>
  <c r="AA102" i="4"/>
  <c r="V85" i="4"/>
  <c r="T71" i="4"/>
  <c r="AG81" i="4"/>
  <c r="AC105" i="4"/>
  <c r="V83" i="4"/>
  <c r="AI57" i="4"/>
  <c r="AA93" i="4"/>
  <c r="AK83" i="4"/>
  <c r="AI93" i="4"/>
  <c r="AE81" i="4"/>
  <c r="AC104" i="4"/>
  <c r="AC69" i="4"/>
  <c r="V68" i="4"/>
  <c r="AK68" i="4"/>
  <c r="AE91" i="4"/>
  <c r="AA44" i="4"/>
  <c r="AK97" i="4"/>
  <c r="AA80" i="4"/>
  <c r="AK62" i="4"/>
  <c r="AI44" i="4"/>
  <c r="AA74" i="4"/>
  <c r="V98" i="4"/>
  <c r="T86" i="4"/>
  <c r="AK94" i="4"/>
  <c r="AK56" i="4"/>
  <c r="AI92" i="4"/>
  <c r="AI68" i="4"/>
  <c r="AI43" i="4"/>
  <c r="AG80" i="4"/>
  <c r="AG60" i="4"/>
  <c r="AE86" i="4"/>
  <c r="AE50" i="4"/>
  <c r="AC92" i="4"/>
  <c r="AC68" i="4"/>
  <c r="AA71" i="4"/>
  <c r="V92" i="4"/>
  <c r="V50" i="4"/>
  <c r="AI62" i="4"/>
  <c r="AK44" i="4"/>
  <c r="AE74" i="4"/>
  <c r="T74" i="4"/>
  <c r="AE104" i="4"/>
  <c r="AE44" i="4"/>
  <c r="V80" i="4"/>
  <c r="T104" i="4"/>
  <c r="AK85" i="4"/>
  <c r="AG103" i="4"/>
  <c r="AC86" i="4"/>
  <c r="AA61" i="4"/>
  <c r="V44" i="4"/>
  <c r="AE103" i="4"/>
  <c r="AC80" i="4"/>
  <c r="AA92" i="4"/>
  <c r="T68" i="4"/>
  <c r="AI86" i="4"/>
  <c r="AA98" i="4"/>
  <c r="AG56" i="4"/>
  <c r="AI56" i="4"/>
  <c r="AG68" i="4"/>
  <c r="AE42" i="4"/>
  <c r="AC56" i="4"/>
  <c r="T98" i="4"/>
  <c r="AK80" i="4"/>
  <c r="AI104" i="4"/>
  <c r="AI54" i="4"/>
  <c r="AG98" i="4"/>
  <c r="AG66" i="4"/>
  <c r="AG52" i="4"/>
  <c r="AE100" i="4"/>
  <c r="AC78" i="4"/>
  <c r="AC54" i="4"/>
  <c r="AA91" i="4"/>
  <c r="AA50" i="4"/>
  <c r="V71" i="4"/>
  <c r="T97" i="4"/>
  <c r="T62" i="4"/>
  <c r="AI73" i="4"/>
  <c r="AI98" i="4"/>
  <c r="AC44" i="4"/>
  <c r="T90" i="4"/>
  <c r="V61" i="4"/>
  <c r="AG61" i="4"/>
  <c r="AE56" i="4"/>
  <c r="AC42" i="4"/>
  <c r="V56" i="4"/>
  <c r="V101" i="4"/>
  <c r="AE78" i="4"/>
  <c r="AG97" i="4"/>
  <c r="T65" i="4"/>
  <c r="AK89" i="4"/>
  <c r="AK70" i="4"/>
  <c r="AK49" i="4"/>
  <c r="AI95" i="4"/>
  <c r="AI78" i="4"/>
  <c r="AI59" i="4"/>
  <c r="AI42" i="4"/>
  <c r="AG96" i="4"/>
  <c r="AG83" i="4"/>
  <c r="AG70" i="4"/>
  <c r="AE94" i="4"/>
  <c r="AC102" i="4"/>
  <c r="AC84" i="4"/>
  <c r="AC66" i="4"/>
  <c r="AC48" i="4"/>
  <c r="AA95" i="4"/>
  <c r="AA77" i="4"/>
  <c r="AA53" i="4"/>
  <c r="V95" i="4"/>
  <c r="V65" i="4"/>
  <c r="T83" i="4"/>
  <c r="AG73" i="4"/>
  <c r="AE41" i="4"/>
  <c r="V73" i="4"/>
  <c r="AK73" i="4"/>
  <c r="AA97" i="4"/>
  <c r="T85" i="4"/>
  <c r="AK88" i="4"/>
  <c r="AK47" i="4"/>
  <c r="AI77" i="4"/>
  <c r="AI41" i="4"/>
  <c r="AG95" i="4"/>
  <c r="AG82" i="4"/>
  <c r="AG42" i="4"/>
  <c r="AE73" i="4"/>
  <c r="AE53" i="4"/>
  <c r="AC101" i="4"/>
  <c r="AC83" i="4"/>
  <c r="AC65" i="4"/>
  <c r="AC47" i="4"/>
  <c r="AA94" i="4"/>
  <c r="AA52" i="4"/>
  <c r="V64" i="4"/>
  <c r="T101" i="4"/>
  <c r="T82" i="4"/>
  <c r="T61" i="4"/>
  <c r="AE101" i="4"/>
  <c r="AK71" i="4"/>
  <c r="AI61" i="4"/>
  <c r="AG71" i="4"/>
  <c r="V41" i="4"/>
  <c r="AK65" i="4"/>
  <c r="AK46" i="4"/>
  <c r="AI76" i="4"/>
  <c r="AI40" i="4"/>
  <c r="AG94" i="4"/>
  <c r="AG54" i="4"/>
  <c r="AG41" i="4"/>
  <c r="AE52" i="4"/>
  <c r="AC99" i="4"/>
  <c r="AC63" i="4"/>
  <c r="AA73" i="4"/>
  <c r="V89" i="4"/>
  <c r="T100" i="4"/>
  <c r="T59" i="4"/>
  <c r="AG77" i="4"/>
  <c r="AA90" i="4"/>
  <c r="T78" i="4"/>
  <c r="AK100" i="4"/>
  <c r="AI85" i="4"/>
  <c r="AI49" i="4"/>
  <c r="AG76" i="4"/>
  <c r="AA65" i="4"/>
  <c r="AA41" i="4"/>
  <c r="V53" i="4"/>
  <c r="T77" i="4"/>
  <c r="AK101" i="4"/>
  <c r="AK61" i="4"/>
  <c r="AG90" i="4"/>
  <c r="AC77" i="4"/>
  <c r="AC41" i="4"/>
  <c r="AA66" i="4"/>
  <c r="T53" i="4"/>
  <c r="AG102" i="4"/>
  <c r="AG89" i="4"/>
  <c r="AE85" i="4"/>
  <c r="AE66" i="4"/>
  <c r="AA89" i="4"/>
  <c r="AK77" i="4"/>
  <c r="AK58" i="4"/>
  <c r="AI83" i="4"/>
  <c r="AG101" i="4"/>
  <c r="AG88" i="4"/>
  <c r="AG75" i="4"/>
  <c r="AG49" i="4"/>
  <c r="AE102" i="4"/>
  <c r="AA88" i="4"/>
  <c r="AA40" i="4"/>
  <c r="V77" i="4"/>
  <c r="T76" i="4"/>
  <c r="T49" i="4"/>
  <c r="AC89" i="4"/>
  <c r="AC53" i="4"/>
  <c r="T42" i="4"/>
  <c r="AG85" i="4"/>
  <c r="AI97" i="4"/>
  <c r="AG84" i="4"/>
  <c r="AA54" i="4"/>
  <c r="V97" i="4"/>
  <c r="T40" i="4"/>
  <c r="AA79" i="4"/>
  <c r="V103" i="4"/>
  <c r="V91" i="4"/>
  <c r="V79" i="4"/>
  <c r="V67" i="4"/>
  <c r="V55" i="4"/>
  <c r="V43" i="4"/>
  <c r="T67" i="4"/>
  <c r="AK96" i="4"/>
  <c r="AK84" i="4"/>
  <c r="AK72" i="4"/>
  <c r="AK60" i="4"/>
  <c r="AK48" i="4"/>
  <c r="AI102" i="4"/>
  <c r="AI88" i="4"/>
  <c r="AI58" i="4"/>
  <c r="AE90" i="4"/>
  <c r="AE76" i="4"/>
  <c r="AE61" i="4"/>
  <c r="AE46" i="4"/>
  <c r="AC100" i="4"/>
  <c r="AC88" i="4"/>
  <c r="AC76" i="4"/>
  <c r="AC64" i="4"/>
  <c r="AC52" i="4"/>
  <c r="AC40" i="4"/>
  <c r="AA78" i="4"/>
  <c r="AA64" i="4"/>
  <c r="AA49" i="4"/>
  <c r="V102" i="4"/>
  <c r="V90" i="4"/>
  <c r="V78" i="4"/>
  <c r="V66" i="4"/>
  <c r="V54" i="4"/>
  <c r="V42" i="4"/>
  <c r="T94" i="4"/>
  <c r="T66" i="4"/>
  <c r="T52" i="4"/>
  <c r="AA76" i="4"/>
  <c r="V100" i="4"/>
  <c r="V88" i="4"/>
  <c r="V52" i="4"/>
  <c r="V40" i="4"/>
  <c r="AK105" i="4"/>
  <c r="AK93" i="4"/>
  <c r="AK81" i="4"/>
  <c r="AK69" i="4"/>
  <c r="AK57" i="4"/>
  <c r="AK45" i="4"/>
  <c r="AI69" i="4"/>
  <c r="AI55" i="4"/>
  <c r="AE57" i="4"/>
  <c r="AE43" i="4"/>
  <c r="AC97" i="4"/>
  <c r="AC85" i="4"/>
  <c r="AC73" i="4"/>
  <c r="AA103" i="4"/>
  <c r="AA45" i="4"/>
  <c r="V99" i="4"/>
  <c r="V87" i="4"/>
  <c r="V75" i="4"/>
  <c r="V63" i="4"/>
  <c r="V51" i="4"/>
  <c r="T105" i="4"/>
  <c r="T91" i="4"/>
  <c r="AK91" i="4"/>
  <c r="AK55" i="4"/>
  <c r="AI67" i="4"/>
  <c r="AA43" i="4"/>
  <c r="T45" i="4"/>
  <c r="AK103" i="4"/>
  <c r="AK79" i="4"/>
  <c r="AK67" i="4"/>
  <c r="AK43" i="4"/>
  <c r="AE55" i="4"/>
  <c r="AA57" i="4"/>
  <c r="T103" i="4"/>
  <c r="AK102" i="4"/>
  <c r="AK66" i="4"/>
  <c r="AK54" i="4"/>
  <c r="AK42" i="4"/>
  <c r="AI94" i="4"/>
  <c r="AE82" i="4"/>
  <c r="AC94" i="4"/>
  <c r="AC82" i="4"/>
  <c r="AC70" i="4"/>
  <c r="AC58" i="4"/>
  <c r="AC46" i="4"/>
  <c r="AA70" i="4"/>
  <c r="V96" i="4"/>
  <c r="V84" i="4"/>
  <c r="V72" i="4"/>
  <c r="V60" i="4"/>
  <c r="V48" i="4"/>
  <c r="T58" i="4"/>
  <c r="AG91" i="4"/>
  <c r="AG79" i="4"/>
  <c r="AG67" i="4"/>
  <c r="AG55" i="4"/>
  <c r="AG43" i="4"/>
  <c r="AE67" i="4"/>
  <c r="AA69" i="4"/>
  <c r="AA55" i="4"/>
  <c r="T57" i="4"/>
  <c r="T43" i="4"/>
  <c r="V70" i="4"/>
  <c r="AK99" i="4"/>
  <c r="AK87" i="4"/>
  <c r="AK75" i="4"/>
  <c r="AK63" i="4"/>
  <c r="AK51" i="4"/>
  <c r="AI105" i="4"/>
  <c r="AI91" i="4"/>
  <c r="AE93" i="4"/>
  <c r="AE79" i="4"/>
  <c r="AC67" i="4"/>
  <c r="AC55" i="4"/>
  <c r="AA81" i="4"/>
  <c r="V69" i="4"/>
  <c r="AI99" i="4"/>
  <c r="AI87" i="4"/>
  <c r="AI63" i="4"/>
  <c r="AI51" i="4"/>
  <c r="AE99" i="4"/>
  <c r="AE87" i="4"/>
  <c r="AE75" i="4"/>
  <c r="AE63" i="4"/>
  <c r="AE51" i="4"/>
  <c r="AA99" i="4"/>
  <c r="AA87" i="4"/>
  <c r="AA75" i="4"/>
  <c r="AA63" i="4"/>
  <c r="AA51" i="4"/>
  <c r="T75" i="4"/>
  <c r="AI96" i="4"/>
  <c r="AI84" i="4"/>
  <c r="AI60" i="4"/>
  <c r="AI48" i="4"/>
  <c r="AE96" i="4"/>
  <c r="AE84" i="4"/>
  <c r="AE72" i="4"/>
  <c r="AE60" i="4"/>
  <c r="AE48" i="4"/>
  <c r="AA96" i="4"/>
  <c r="AA84" i="4"/>
  <c r="AA72" i="4"/>
  <c r="AA60" i="4"/>
  <c r="AA48" i="4"/>
  <c r="T72" i="4"/>
  <c r="N40" i="3" l="1"/>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S40" i="3"/>
  <c r="AC40" i="3" s="1"/>
  <c r="S41" i="3"/>
  <c r="AS41" i="3" s="1"/>
  <c r="S42" i="3"/>
  <c r="AS42" i="3" s="1"/>
  <c r="S43" i="3"/>
  <c r="AM43" i="3" s="1"/>
  <c r="S44" i="3"/>
  <c r="AC44" i="3" s="1"/>
  <c r="S45" i="3"/>
  <c r="AG45" i="3" s="1"/>
  <c r="S46" i="3"/>
  <c r="AO46" i="3" s="1"/>
  <c r="S47" i="3"/>
  <c r="AI47" i="3" s="1"/>
  <c r="S48" i="3"/>
  <c r="AK48" i="3" s="1"/>
  <c r="S49" i="3"/>
  <c r="AM49" i="3" s="1"/>
  <c r="S50" i="3"/>
  <c r="AM50" i="3" s="1"/>
  <c r="S51" i="3"/>
  <c r="AK51" i="3" s="1"/>
  <c r="S52" i="3"/>
  <c r="V52" i="3" s="1"/>
  <c r="S53" i="3"/>
  <c r="AK53" i="3" s="1"/>
  <c r="S54" i="3"/>
  <c r="AO54" i="3" s="1"/>
  <c r="S55" i="3"/>
  <c r="AM55" i="3" s="1"/>
  <c r="S56" i="3"/>
  <c r="AM56" i="3" s="1"/>
  <c r="S57" i="3"/>
  <c r="AG57" i="3" s="1"/>
  <c r="S58" i="3"/>
  <c r="AO58" i="3" s="1"/>
  <c r="S59" i="3"/>
  <c r="AO59" i="3" s="1"/>
  <c r="S60" i="3"/>
  <c r="AA60" i="3" s="1"/>
  <c r="S61" i="3"/>
  <c r="AM61" i="3" s="1"/>
  <c r="S62" i="3"/>
  <c r="AM62" i="3" s="1"/>
  <c r="S63" i="3"/>
  <c r="AC63" i="3" s="1"/>
  <c r="S64" i="3"/>
  <c r="AK64" i="3" s="1"/>
  <c r="S65" i="3"/>
  <c r="AQ65" i="3" s="1"/>
  <c r="S66" i="3"/>
  <c r="AE66" i="3" s="1"/>
  <c r="S67" i="3"/>
  <c r="AM67" i="3" s="1"/>
  <c r="S68" i="3"/>
  <c r="AM68" i="3" s="1"/>
  <c r="S69" i="3"/>
  <c r="AS69" i="3" s="1"/>
  <c r="S70" i="3"/>
  <c r="V70" i="3" s="1"/>
  <c r="S71" i="3"/>
  <c r="V71" i="3" s="1"/>
  <c r="S72" i="3"/>
  <c r="AQ72" i="3" s="1"/>
  <c r="S73" i="3"/>
  <c r="AM73" i="3" s="1"/>
  <c r="S74" i="3"/>
  <c r="AM74" i="3" s="1"/>
  <c r="S75" i="3"/>
  <c r="AK75" i="3" s="1"/>
  <c r="S76" i="3"/>
  <c r="AI76" i="3" s="1"/>
  <c r="S77" i="3"/>
  <c r="T77" i="3" s="1"/>
  <c r="S78" i="3"/>
  <c r="AI78" i="3" s="1"/>
  <c r="S79" i="3"/>
  <c r="AM79" i="3" s="1"/>
  <c r="S80" i="3"/>
  <c r="AM80" i="3" s="1"/>
  <c r="S81" i="3"/>
  <c r="AS81" i="3" s="1"/>
  <c r="S82" i="3"/>
  <c r="AK82" i="3" s="1"/>
  <c r="S83" i="3"/>
  <c r="AE83" i="3" s="1"/>
  <c r="S84" i="3"/>
  <c r="AE84" i="3" s="1"/>
  <c r="S85" i="3"/>
  <c r="AM85" i="3" s="1"/>
  <c r="S86" i="3"/>
  <c r="AM86" i="3" s="1"/>
  <c r="S87" i="3"/>
  <c r="AC87" i="3" s="1"/>
  <c r="S88" i="3"/>
  <c r="V88" i="3" s="1"/>
  <c r="S89" i="3"/>
  <c r="V89" i="3" s="1"/>
  <c r="S90" i="3"/>
  <c r="AK90" i="3" s="1"/>
  <c r="S91" i="3"/>
  <c r="AM91" i="3" s="1"/>
  <c r="S92" i="3"/>
  <c r="AM92" i="3" s="1"/>
  <c r="S93" i="3"/>
  <c r="AG93" i="3" s="1"/>
  <c r="S94" i="3"/>
  <c r="AC94" i="3" s="1"/>
  <c r="S95" i="3"/>
  <c r="AI95" i="3" s="1"/>
  <c r="S96" i="3"/>
  <c r="AK96" i="3" s="1"/>
  <c r="S97" i="3"/>
  <c r="AM97" i="3" s="1"/>
  <c r="S98" i="3"/>
  <c r="AM98" i="3" s="1"/>
  <c r="S99" i="3"/>
  <c r="AG99" i="3" s="1"/>
  <c r="S100" i="3"/>
  <c r="AA100" i="3" s="1"/>
  <c r="S101" i="3"/>
  <c r="T101" i="3" s="1"/>
  <c r="S102" i="3"/>
  <c r="AI102" i="3" s="1"/>
  <c r="S103" i="3"/>
  <c r="AG103" i="3" s="1"/>
  <c r="S104" i="3"/>
  <c r="AM104" i="3" s="1"/>
  <c r="S105" i="3"/>
  <c r="AE105" i="3" s="1"/>
  <c r="T70" i="3"/>
  <c r="T71" i="3"/>
  <c r="V63" i="3"/>
  <c r="V87" i="3"/>
  <c r="AC51" i="3"/>
  <c r="AC75" i="3"/>
  <c r="AC76" i="3"/>
  <c r="AE74" i="3"/>
  <c r="AG63" i="3"/>
  <c r="AG87" i="3"/>
  <c r="AG98" i="3"/>
  <c r="AK99" i="3"/>
  <c r="AO50" i="3"/>
  <c r="AQ51" i="3"/>
  <c r="AQ63" i="3"/>
  <c r="AQ75" i="3"/>
  <c r="AQ87" i="3"/>
  <c r="AQ99" i="3"/>
  <c r="AS86" i="3"/>
  <c r="F65" i="3"/>
  <c r="F93" i="3"/>
  <c r="F95" i="3"/>
  <c r="F101" i="3"/>
  <c r="F81" i="3"/>
  <c r="F41" i="3"/>
  <c r="F49" i="3"/>
  <c r="F90" i="3"/>
  <c r="F46" i="3"/>
  <c r="F84" i="3"/>
  <c r="F69" i="3"/>
  <c r="F53" i="3"/>
  <c r="F82" i="3"/>
  <c r="F40" i="3"/>
  <c r="F59" i="3"/>
  <c r="F50" i="3"/>
  <c r="F58" i="3"/>
  <c r="F87" i="3"/>
  <c r="F52" i="3"/>
  <c r="F62" i="3"/>
  <c r="F71" i="3"/>
  <c r="F74" i="3"/>
  <c r="F54" i="3"/>
  <c r="F91" i="3"/>
  <c r="F72" i="3"/>
  <c r="F60" i="3"/>
  <c r="F47" i="3"/>
  <c r="F92" i="3"/>
  <c r="F98" i="3"/>
  <c r="F51" i="3"/>
  <c r="F64" i="3"/>
  <c r="F100" i="3"/>
  <c r="F61" i="3"/>
  <c r="F63" i="3"/>
  <c r="F96" i="3"/>
  <c r="F48" i="3"/>
  <c r="F75" i="3"/>
  <c r="F70" i="3"/>
  <c r="F44" i="3"/>
  <c r="F76" i="3"/>
  <c r="F79" i="3"/>
  <c r="F45" i="3"/>
  <c r="F102" i="3"/>
  <c r="F85" i="3"/>
  <c r="F83" i="3"/>
  <c r="F86" i="3"/>
  <c r="F77" i="3"/>
  <c r="F73" i="3"/>
  <c r="F105" i="3"/>
  <c r="F78" i="3"/>
  <c r="F42" i="3"/>
  <c r="F104" i="3"/>
  <c r="F80" i="3"/>
  <c r="F66" i="3"/>
  <c r="F103" i="3"/>
  <c r="F56" i="3"/>
  <c r="F43" i="3"/>
  <c r="F89" i="3"/>
  <c r="F55" i="3"/>
  <c r="F94" i="3"/>
  <c r="F99" i="3"/>
  <c r="F67" i="3"/>
  <c r="F68" i="3"/>
  <c r="F97" i="3"/>
  <c r="F88" i="3"/>
  <c r="F57" i="3"/>
  <c r="AA40" i="3" l="1"/>
  <c r="AO64" i="3"/>
  <c r="V75" i="3"/>
  <c r="AK87" i="3"/>
  <c r="V40" i="3"/>
  <c r="AA90" i="3"/>
  <c r="AC99" i="3"/>
  <c r="V99" i="3"/>
  <c r="AK40" i="3"/>
  <c r="AS76" i="3"/>
  <c r="AI100" i="3"/>
  <c r="AS64" i="3"/>
  <c r="AI88" i="3"/>
  <c r="AK94" i="3"/>
  <c r="AK70" i="3"/>
  <c r="AQ82" i="3"/>
  <c r="AQ64" i="3"/>
  <c r="AQ70" i="3"/>
  <c r="V76" i="3"/>
  <c r="AG101" i="3"/>
  <c r="AS94" i="3"/>
  <c r="AS88" i="3"/>
  <c r="AO88" i="3"/>
  <c r="AA46" i="3"/>
  <c r="AQ58" i="3"/>
  <c r="AE71" i="3"/>
  <c r="AE70" i="3"/>
  <c r="AS46" i="3"/>
  <c r="AI71" i="3"/>
  <c r="AQ88" i="3"/>
  <c r="AO53" i="3"/>
  <c r="AI70" i="3"/>
  <c r="AE52" i="3"/>
  <c r="AQ59" i="3"/>
  <c r="AE72" i="3"/>
  <c r="AI97" i="3"/>
  <c r="AE58" i="3"/>
  <c r="AE53" i="3"/>
  <c r="AO52" i="3"/>
  <c r="AG102" i="3"/>
  <c r="AE40" i="3"/>
  <c r="V64" i="3"/>
  <c r="AS61" i="3"/>
  <c r="AG66" i="3"/>
  <c r="AO90" i="3"/>
  <c r="AG49" i="3"/>
  <c r="AO89" i="3"/>
  <c r="AG44" i="3"/>
  <c r="AA56" i="3"/>
  <c r="AS89" i="3"/>
  <c r="AQ71" i="3"/>
  <c r="AA49" i="3"/>
  <c r="AK72" i="3"/>
  <c r="V80" i="3"/>
  <c r="AQ84" i="3"/>
  <c r="AK66" i="3"/>
  <c r="AK65" i="3"/>
  <c r="AI65" i="3"/>
  <c r="AQ77" i="3"/>
  <c r="AO42" i="3"/>
  <c r="AI64" i="3"/>
  <c r="AG43" i="3"/>
  <c r="AA64" i="3"/>
  <c r="AS96" i="3"/>
  <c r="AS52" i="3"/>
  <c r="AQ76" i="3"/>
  <c r="AO95" i="3"/>
  <c r="AO41" i="3"/>
  <c r="AK47" i="3"/>
  <c r="AI59" i="3"/>
  <c r="AG40" i="3"/>
  <c r="AC91" i="3"/>
  <c r="V51" i="3"/>
  <c r="AS60" i="3"/>
  <c r="AS58" i="3"/>
  <c r="AO100" i="3"/>
  <c r="AK52" i="3"/>
  <c r="AS95" i="3"/>
  <c r="AS47" i="3"/>
  <c r="AO94" i="3"/>
  <c r="AO40" i="3"/>
  <c r="AK46" i="3"/>
  <c r="AI52" i="3"/>
  <c r="AC88" i="3"/>
  <c r="V41" i="3"/>
  <c r="AK89" i="3"/>
  <c r="AQ96" i="3"/>
  <c r="AQ94" i="3"/>
  <c r="AO67" i="3"/>
  <c r="AI91" i="3"/>
  <c r="AE64" i="3"/>
  <c r="AC64" i="3"/>
  <c r="AS77" i="3"/>
  <c r="AQ90" i="3"/>
  <c r="AQ60" i="3"/>
  <c r="AO65" i="3"/>
  <c r="AK78" i="3"/>
  <c r="AI90" i="3"/>
  <c r="AG75" i="3"/>
  <c r="AE59" i="3"/>
  <c r="AC58" i="3"/>
  <c r="V82" i="3"/>
  <c r="AA79" i="3"/>
  <c r="AO101" i="3"/>
  <c r="AA65" i="3"/>
  <c r="AQ56" i="3"/>
  <c r="V59" i="3"/>
  <c r="AQ102" i="3"/>
  <c r="AE90" i="3"/>
  <c r="AE46" i="3"/>
  <c r="AS102" i="3"/>
  <c r="AQ101" i="3"/>
  <c r="AQ47" i="3"/>
  <c r="AK101" i="3"/>
  <c r="AI83" i="3"/>
  <c r="AE79" i="3"/>
  <c r="AC46" i="3"/>
  <c r="AS101" i="3"/>
  <c r="AS70" i="3"/>
  <c r="AQ100" i="3"/>
  <c r="AQ46" i="3"/>
  <c r="AO70" i="3"/>
  <c r="AK59" i="3"/>
  <c r="AI77" i="3"/>
  <c r="AG90" i="3"/>
  <c r="AE78" i="3"/>
  <c r="AC100" i="3"/>
  <c r="V91" i="3"/>
  <c r="V46" i="3"/>
  <c r="AA47" i="3"/>
  <c r="AS72" i="3"/>
  <c r="AO82" i="3"/>
  <c r="AK61" i="3"/>
  <c r="AC49" i="3"/>
  <c r="V58" i="3"/>
  <c r="AS71" i="3"/>
  <c r="AO71" i="3"/>
  <c r="AK60" i="3"/>
  <c r="AS100" i="3"/>
  <c r="AS66" i="3"/>
  <c r="AO102" i="3"/>
  <c r="AO68" i="3"/>
  <c r="AK95" i="3"/>
  <c r="AG89" i="3"/>
  <c r="V44" i="3"/>
  <c r="AS59" i="3"/>
  <c r="AI48" i="3"/>
  <c r="AQ83" i="3"/>
  <c r="AO83" i="3"/>
  <c r="AS49" i="3"/>
  <c r="AQ44" i="3"/>
  <c r="AO55" i="3"/>
  <c r="AK73" i="3"/>
  <c r="AK49" i="3"/>
  <c r="AC79" i="3"/>
  <c r="T73" i="3"/>
  <c r="AK80" i="3"/>
  <c r="AS73" i="3"/>
  <c r="AQ43" i="3"/>
  <c r="AI43" i="3"/>
  <c r="AG69" i="3"/>
  <c r="AE85" i="3"/>
  <c r="V92" i="3"/>
  <c r="V61" i="3"/>
  <c r="AC68" i="3"/>
  <c r="T61" i="3"/>
  <c r="AG68" i="3"/>
  <c r="AS43" i="3"/>
  <c r="AQ103" i="3"/>
  <c r="AI104" i="3"/>
  <c r="AC104" i="3"/>
  <c r="T49" i="3"/>
  <c r="AO81" i="3"/>
  <c r="AG105" i="3"/>
  <c r="AQ85" i="3"/>
  <c r="AO73" i="3"/>
  <c r="AO49" i="3"/>
  <c r="AK92" i="3"/>
  <c r="AS91" i="3"/>
  <c r="AO97" i="3"/>
  <c r="AO43" i="3"/>
  <c r="AK63" i="3"/>
  <c r="AI67" i="3"/>
  <c r="AG51" i="3"/>
  <c r="AE73" i="3"/>
  <c r="AA59" i="3"/>
  <c r="V83" i="3"/>
  <c r="T47" i="3"/>
  <c r="AS104" i="3"/>
  <c r="AQ97" i="3"/>
  <c r="AK104" i="3"/>
  <c r="AI56" i="3"/>
  <c r="T97" i="3"/>
  <c r="AQ49" i="3"/>
  <c r="AK79" i="3"/>
  <c r="AO57" i="3"/>
  <c r="AG81" i="3"/>
  <c r="AC85" i="3"/>
  <c r="V67" i="3"/>
  <c r="T85" i="3"/>
  <c r="AS80" i="3"/>
  <c r="AS103" i="3"/>
  <c r="AS79" i="3"/>
  <c r="AQ73" i="3"/>
  <c r="AK103" i="3"/>
  <c r="AI85" i="3"/>
  <c r="AE97" i="3"/>
  <c r="AA43" i="3"/>
  <c r="AO85" i="3"/>
  <c r="AO56" i="3"/>
  <c r="AK102" i="3"/>
  <c r="AI84" i="3"/>
  <c r="AI49" i="3"/>
  <c r="AG80" i="3"/>
  <c r="AE95" i="3"/>
  <c r="AC80" i="3"/>
  <c r="AA103" i="3"/>
  <c r="T83" i="3"/>
  <c r="AQ74" i="3"/>
  <c r="AC74" i="3"/>
  <c r="AS65" i="3"/>
  <c r="AS44" i="3"/>
  <c r="AQ89" i="3"/>
  <c r="AQ50" i="3"/>
  <c r="AO96" i="3"/>
  <c r="AK98" i="3"/>
  <c r="AK74" i="3"/>
  <c r="AK58" i="3"/>
  <c r="AI101" i="3"/>
  <c r="AI82" i="3"/>
  <c r="AI58" i="3"/>
  <c r="AG73" i="3"/>
  <c r="AG42" i="3"/>
  <c r="AE77" i="3"/>
  <c r="AE55" i="3"/>
  <c r="AC98" i="3"/>
  <c r="AC70" i="3"/>
  <c r="AC43" i="3"/>
  <c r="AA74" i="3"/>
  <c r="AA44" i="3"/>
  <c r="V86" i="3"/>
  <c r="V62" i="3"/>
  <c r="T98" i="3"/>
  <c r="T62" i="3"/>
  <c r="AS62" i="3"/>
  <c r="AI98" i="3"/>
  <c r="AE98" i="3"/>
  <c r="AC67" i="3"/>
  <c r="AA104" i="3"/>
  <c r="AA41" i="3"/>
  <c r="T96" i="3"/>
  <c r="T50" i="3"/>
  <c r="AQ86" i="3"/>
  <c r="AI74" i="3"/>
  <c r="AE50" i="3"/>
  <c r="AA62" i="3"/>
  <c r="T86" i="3"/>
  <c r="AK50" i="3"/>
  <c r="AE96" i="3"/>
  <c r="AC86" i="3"/>
  <c r="V77" i="3"/>
  <c r="AI50" i="3"/>
  <c r="AG86" i="3"/>
  <c r="AG62" i="3"/>
  <c r="AE44" i="3"/>
  <c r="AA98" i="3"/>
  <c r="V98" i="3"/>
  <c r="V50" i="3"/>
  <c r="T43" i="3"/>
  <c r="AC62" i="3"/>
  <c r="AS98" i="3"/>
  <c r="AS74" i="3"/>
  <c r="AQ62" i="3"/>
  <c r="AO103" i="3"/>
  <c r="AO86" i="3"/>
  <c r="AI89" i="3"/>
  <c r="AI68" i="3"/>
  <c r="AI46" i="3"/>
  <c r="AG85" i="3"/>
  <c r="AG61" i="3"/>
  <c r="AE91" i="3"/>
  <c r="AE65" i="3"/>
  <c r="AE43" i="3"/>
  <c r="AC82" i="3"/>
  <c r="AC61" i="3"/>
  <c r="AA91" i="3"/>
  <c r="AA58" i="3"/>
  <c r="V94" i="3"/>
  <c r="V49" i="3"/>
  <c r="T82" i="3"/>
  <c r="AQ98" i="3"/>
  <c r="AO62" i="3"/>
  <c r="AK86" i="3"/>
  <c r="V74" i="3"/>
  <c r="T74" i="3"/>
  <c r="AK62" i="3"/>
  <c r="AI86" i="3"/>
  <c r="AG50" i="3"/>
  <c r="AE86" i="3"/>
  <c r="AA86" i="3"/>
  <c r="AA50" i="3"/>
  <c r="AE62" i="3"/>
  <c r="AG104" i="3"/>
  <c r="AG79" i="3"/>
  <c r="AC103" i="3"/>
  <c r="AC50" i="3"/>
  <c r="AA80" i="3"/>
  <c r="V65" i="3"/>
  <c r="V43" i="3"/>
  <c r="AS50" i="3"/>
  <c r="AO98" i="3"/>
  <c r="AI62" i="3"/>
  <c r="AO74" i="3"/>
  <c r="AI103" i="3"/>
  <c r="AG74" i="3"/>
  <c r="AE56" i="3"/>
  <c r="AA77" i="3"/>
  <c r="T65" i="3"/>
  <c r="AS56" i="3"/>
  <c r="AQ95" i="3"/>
  <c r="AQ42" i="3"/>
  <c r="AK85" i="3"/>
  <c r="AK44" i="3"/>
  <c r="AG97" i="3"/>
  <c r="AE69" i="3"/>
  <c r="AA55" i="3"/>
  <c r="V104" i="3"/>
  <c r="V56" i="3"/>
  <c r="T56" i="3"/>
  <c r="AC89" i="3"/>
  <c r="AM89" i="3"/>
  <c r="AC53" i="3"/>
  <c r="AM53" i="3"/>
  <c r="AS83" i="3"/>
  <c r="AS55" i="3"/>
  <c r="AQ80" i="3"/>
  <c r="AQ54" i="3"/>
  <c r="AO79" i="3"/>
  <c r="AO47" i="3"/>
  <c r="AK84" i="3"/>
  <c r="AK56" i="3"/>
  <c r="AG77" i="3"/>
  <c r="AE104" i="3"/>
  <c r="AE68" i="3"/>
  <c r="AC97" i="3"/>
  <c r="AC55" i="3"/>
  <c r="AA54" i="3"/>
  <c r="V55" i="3"/>
  <c r="T55" i="3"/>
  <c r="T76" i="3"/>
  <c r="AM76" i="3"/>
  <c r="T40" i="3"/>
  <c r="AM40" i="3"/>
  <c r="AS82" i="3"/>
  <c r="AS68" i="3"/>
  <c r="AS54" i="3"/>
  <c r="AS40" i="3"/>
  <c r="AQ92" i="3"/>
  <c r="AQ79" i="3"/>
  <c r="AQ66" i="3"/>
  <c r="AQ53" i="3"/>
  <c r="AQ40" i="3"/>
  <c r="AO92" i="3"/>
  <c r="AO77" i="3"/>
  <c r="AK97" i="3"/>
  <c r="AK83" i="3"/>
  <c r="AK68" i="3"/>
  <c r="AK55" i="3"/>
  <c r="AK42" i="3"/>
  <c r="AI94" i="3"/>
  <c r="AI79" i="3"/>
  <c r="AI45" i="3"/>
  <c r="AG92" i="3"/>
  <c r="AG55" i="3"/>
  <c r="AE103" i="3"/>
  <c r="AE82" i="3"/>
  <c r="AE67" i="3"/>
  <c r="AC52" i="3"/>
  <c r="AA97" i="3"/>
  <c r="AA68" i="3"/>
  <c r="AA53" i="3"/>
  <c r="V101" i="3"/>
  <c r="V53" i="3"/>
  <c r="T54" i="3"/>
  <c r="AS99" i="3"/>
  <c r="AM99" i="3"/>
  <c r="AO87" i="3"/>
  <c r="AM87" i="3"/>
  <c r="T75" i="3"/>
  <c r="AM75" i="3"/>
  <c r="AI63" i="3"/>
  <c r="AM63" i="3"/>
  <c r="AO51" i="3"/>
  <c r="AM51" i="3"/>
  <c r="AS85" i="3"/>
  <c r="AQ55" i="3"/>
  <c r="AO80" i="3"/>
  <c r="AA73" i="3"/>
  <c r="AC101" i="3"/>
  <c r="AM101" i="3"/>
  <c r="AC77" i="3"/>
  <c r="AM77" i="3"/>
  <c r="AC41" i="3"/>
  <c r="AM41" i="3"/>
  <c r="AQ67" i="3"/>
  <c r="AQ41" i="3"/>
  <c r="AO61" i="3"/>
  <c r="AK43" i="3"/>
  <c r="AI80" i="3"/>
  <c r="AG56" i="3"/>
  <c r="AA71" i="3"/>
  <c r="V103" i="3"/>
  <c r="T104" i="3"/>
  <c r="T100" i="3"/>
  <c r="AM100" i="3"/>
  <c r="T64" i="3"/>
  <c r="AM64" i="3"/>
  <c r="AS97" i="3"/>
  <c r="AS67" i="3"/>
  <c r="AS53" i="3"/>
  <c r="AQ104" i="3"/>
  <c r="AQ91" i="3"/>
  <c r="AQ78" i="3"/>
  <c r="AQ52" i="3"/>
  <c r="AO104" i="3"/>
  <c r="AO91" i="3"/>
  <c r="AO76" i="3"/>
  <c r="AO44" i="3"/>
  <c r="AK67" i="3"/>
  <c r="AK54" i="3"/>
  <c r="AK41" i="3"/>
  <c r="AI92" i="3"/>
  <c r="AI61" i="3"/>
  <c r="AI44" i="3"/>
  <c r="AG91" i="3"/>
  <c r="AG54" i="3"/>
  <c r="AE80" i="3"/>
  <c r="AE49" i="3"/>
  <c r="AC92" i="3"/>
  <c r="AC73" i="3"/>
  <c r="AA92" i="3"/>
  <c r="AA67" i="3"/>
  <c r="AA52" i="3"/>
  <c r="V100" i="3"/>
  <c r="V85" i="3"/>
  <c r="V68" i="3"/>
  <c r="V96" i="3"/>
  <c r="AM96" i="3"/>
  <c r="T84" i="3"/>
  <c r="AM84" i="3"/>
  <c r="T72" i="3"/>
  <c r="AM72" i="3"/>
  <c r="V60" i="3"/>
  <c r="AM60" i="3"/>
  <c r="V48" i="3"/>
  <c r="AM48" i="3"/>
  <c r="V97" i="3"/>
  <c r="AA95" i="3"/>
  <c r="AM95" i="3"/>
  <c r="T59" i="3"/>
  <c r="AM59" i="3"/>
  <c r="T92" i="3"/>
  <c r="AG83" i="3"/>
  <c r="AM83" i="3"/>
  <c r="AG71" i="3"/>
  <c r="AM71" i="3"/>
  <c r="AE47" i="3"/>
  <c r="AM47" i="3"/>
  <c r="AS92" i="3"/>
  <c r="AS48" i="3"/>
  <c r="AQ61" i="3"/>
  <c r="AQ48" i="3"/>
  <c r="AK91" i="3"/>
  <c r="AK77" i="3"/>
  <c r="AI73" i="3"/>
  <c r="AI55" i="3"/>
  <c r="AG67" i="3"/>
  <c r="AE92" i="3"/>
  <c r="AE61" i="3"/>
  <c r="AA85" i="3"/>
  <c r="AA61" i="3"/>
  <c r="V95" i="3"/>
  <c r="V79" i="3"/>
  <c r="V47" i="3"/>
  <c r="T91" i="3"/>
  <c r="T68" i="3"/>
  <c r="T41" i="3"/>
  <c r="AA94" i="3"/>
  <c r="AM94" i="3"/>
  <c r="AG82" i="3"/>
  <c r="AM82" i="3"/>
  <c r="AG70" i="3"/>
  <c r="AM70" i="3"/>
  <c r="T58" i="3"/>
  <c r="AM58" i="3"/>
  <c r="AG46" i="3"/>
  <c r="AM46" i="3"/>
  <c r="T67" i="3"/>
  <c r="V105" i="3"/>
  <c r="AM105" i="3"/>
  <c r="V93" i="3"/>
  <c r="AM93" i="3"/>
  <c r="V81" i="3"/>
  <c r="AM81" i="3"/>
  <c r="T69" i="3"/>
  <c r="AM69" i="3"/>
  <c r="V57" i="3"/>
  <c r="AM57" i="3"/>
  <c r="V45" i="3"/>
  <c r="AM45" i="3"/>
  <c r="T44" i="3"/>
  <c r="AM44" i="3"/>
  <c r="T103" i="3"/>
  <c r="AM103" i="3"/>
  <c r="AS90" i="3"/>
  <c r="AM90" i="3"/>
  <c r="AA78" i="3"/>
  <c r="AM78" i="3"/>
  <c r="AA66" i="3"/>
  <c r="AM66" i="3"/>
  <c r="AC54" i="3"/>
  <c r="AM54" i="3"/>
  <c r="T42" i="3"/>
  <c r="AM42" i="3"/>
  <c r="T102" i="3"/>
  <c r="AM102" i="3"/>
  <c r="AC56" i="3"/>
  <c r="AQ68" i="3"/>
  <c r="AO48" i="3"/>
  <c r="AK71" i="3"/>
  <c r="AI96" i="3"/>
  <c r="AG78" i="3"/>
  <c r="V73" i="3"/>
  <c r="T80" i="3"/>
  <c r="AC65" i="3"/>
  <c r="AM65" i="3"/>
  <c r="AO93" i="3"/>
  <c r="T79" i="3"/>
  <c r="T88" i="3"/>
  <c r="AM88" i="3"/>
  <c r="T52" i="3"/>
  <c r="AM52" i="3"/>
  <c r="AS84" i="3"/>
  <c r="AS45" i="3"/>
  <c r="AO105" i="3"/>
  <c r="AO66" i="3"/>
  <c r="AI60" i="3"/>
  <c r="AG65" i="3"/>
  <c r="AG53" i="3"/>
  <c r="AG41" i="3"/>
  <c r="AE94" i="3"/>
  <c r="AE81" i="3"/>
  <c r="AE42" i="3"/>
  <c r="AC96" i="3"/>
  <c r="AC84" i="3"/>
  <c r="AC72" i="3"/>
  <c r="AC60" i="3"/>
  <c r="AC48" i="3"/>
  <c r="AA102" i="3"/>
  <c r="AA89" i="3"/>
  <c r="AA76" i="3"/>
  <c r="T95" i="3"/>
  <c r="T81" i="3"/>
  <c r="T53" i="3"/>
  <c r="AS57" i="3"/>
  <c r="AO78" i="3"/>
  <c r="AK105" i="3"/>
  <c r="AK93" i="3"/>
  <c r="AK81" i="3"/>
  <c r="AK69" i="3"/>
  <c r="AK57" i="3"/>
  <c r="AK45" i="3"/>
  <c r="AI72" i="3"/>
  <c r="AG100" i="3"/>
  <c r="AG88" i="3"/>
  <c r="AG76" i="3"/>
  <c r="AG64" i="3"/>
  <c r="AG52" i="3"/>
  <c r="AE93" i="3"/>
  <c r="AE54" i="3"/>
  <c r="AE41" i="3"/>
  <c r="AC95" i="3"/>
  <c r="AC83" i="3"/>
  <c r="AC71" i="3"/>
  <c r="AC59" i="3"/>
  <c r="AC47" i="3"/>
  <c r="AA101" i="3"/>
  <c r="AA88" i="3"/>
  <c r="AA48" i="3"/>
  <c r="V102" i="3"/>
  <c r="V90" i="3"/>
  <c r="V78" i="3"/>
  <c r="V66" i="3"/>
  <c r="V54" i="3"/>
  <c r="V42" i="3"/>
  <c r="T94" i="3"/>
  <c r="T66" i="3"/>
  <c r="T93" i="3"/>
  <c r="AI57" i="3"/>
  <c r="AC105" i="3"/>
  <c r="AC93" i="3"/>
  <c r="AC81" i="3"/>
  <c r="AC69" i="3"/>
  <c r="AC57" i="3"/>
  <c r="AC45" i="3"/>
  <c r="AA72" i="3"/>
  <c r="T78" i="3"/>
  <c r="T48" i="3"/>
  <c r="AA84" i="3"/>
  <c r="AA45" i="3"/>
  <c r="T105" i="3"/>
  <c r="AS105" i="3"/>
  <c r="AO60" i="3"/>
  <c r="AI81" i="3"/>
  <c r="AI42" i="3"/>
  <c r="AG96" i="3"/>
  <c r="AG84" i="3"/>
  <c r="AG72" i="3"/>
  <c r="AG60" i="3"/>
  <c r="AG48" i="3"/>
  <c r="AE102" i="3"/>
  <c r="AE89" i="3"/>
  <c r="AE76" i="3"/>
  <c r="AA96" i="3"/>
  <c r="AA83" i="3"/>
  <c r="AA70" i="3"/>
  <c r="AA57" i="3"/>
  <c r="T90" i="3"/>
  <c r="T60" i="3"/>
  <c r="T46" i="3"/>
  <c r="AS93" i="3"/>
  <c r="AS78" i="3"/>
  <c r="AQ105" i="3"/>
  <c r="AQ93" i="3"/>
  <c r="AQ81" i="3"/>
  <c r="AQ69" i="3"/>
  <c r="AQ57" i="3"/>
  <c r="AQ45" i="3"/>
  <c r="AO72" i="3"/>
  <c r="AK100" i="3"/>
  <c r="AK88" i="3"/>
  <c r="AK76" i="3"/>
  <c r="AI93" i="3"/>
  <c r="AI54" i="3"/>
  <c r="AI41" i="3"/>
  <c r="AG95" i="3"/>
  <c r="AG59" i="3"/>
  <c r="AG47" i="3"/>
  <c r="AE101" i="3"/>
  <c r="AE88" i="3"/>
  <c r="AE48" i="3"/>
  <c r="AC102" i="3"/>
  <c r="AC90" i="3"/>
  <c r="AC78" i="3"/>
  <c r="AC66" i="3"/>
  <c r="AC42" i="3"/>
  <c r="AA82" i="3"/>
  <c r="AA69" i="3"/>
  <c r="T89" i="3"/>
  <c r="T45" i="3"/>
  <c r="AI69" i="3"/>
  <c r="AO84" i="3"/>
  <c r="AO45" i="3"/>
  <c r="AI105" i="3"/>
  <c r="AI66" i="3"/>
  <c r="AI53" i="3"/>
  <c r="AI40" i="3"/>
  <c r="AG94" i="3"/>
  <c r="AG58" i="3"/>
  <c r="AE100" i="3"/>
  <c r="AE60" i="3"/>
  <c r="AA81" i="3"/>
  <c r="AA42" i="3"/>
  <c r="V84" i="3"/>
  <c r="V72" i="3"/>
  <c r="AA93" i="3"/>
  <c r="T57" i="3"/>
  <c r="AO69" i="3"/>
  <c r="AE45" i="3"/>
  <c r="AA105" i="3"/>
  <c r="AE57" i="3"/>
  <c r="V69" i="3"/>
  <c r="AS75" i="3"/>
  <c r="AO99" i="3"/>
  <c r="AO75" i="3"/>
  <c r="AI99" i="3"/>
  <c r="AI87" i="3"/>
  <c r="AI75" i="3"/>
  <c r="AI51" i="3"/>
  <c r="AE99" i="3"/>
  <c r="AE87" i="3"/>
  <c r="AE75" i="3"/>
  <c r="AE63" i="3"/>
  <c r="AE51" i="3"/>
  <c r="AA99" i="3"/>
  <c r="AA87" i="3"/>
  <c r="AA75" i="3"/>
  <c r="AA63" i="3"/>
  <c r="AA51" i="3"/>
  <c r="T99" i="3"/>
  <c r="T87" i="3"/>
  <c r="T63" i="3"/>
  <c r="T51" i="3"/>
  <c r="AS87" i="3"/>
  <c r="AS63" i="3"/>
  <c r="AS51" i="3"/>
  <c r="AO63" i="3"/>
  <c r="I40" i="2" l="1"/>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S40" i="2"/>
  <c r="T40" i="2" s="1"/>
  <c r="S41" i="2"/>
  <c r="AA41" i="2" s="1"/>
  <c r="S42" i="2"/>
  <c r="T42" i="2" s="1"/>
  <c r="S43" i="2"/>
  <c r="T43" i="2" s="1"/>
  <c r="S44" i="2"/>
  <c r="AA44" i="2" s="1"/>
  <c r="S45" i="2"/>
  <c r="AO45" i="2" s="1"/>
  <c r="S46" i="2"/>
  <c r="T46" i="2" s="1"/>
  <c r="S47" i="2"/>
  <c r="V47" i="2" s="1"/>
  <c r="S48" i="2"/>
  <c r="V48" i="2" s="1"/>
  <c r="S49" i="2"/>
  <c r="AA49" i="2" s="1"/>
  <c r="S50" i="2"/>
  <c r="T50" i="2" s="1"/>
  <c r="S51" i="2"/>
  <c r="T51" i="2" s="1"/>
  <c r="S52" i="2"/>
  <c r="V52" i="2" s="1"/>
  <c r="S53" i="2"/>
  <c r="AE53" i="2" s="1"/>
  <c r="S54" i="2"/>
  <c r="T54" i="2" s="1"/>
  <c r="S55" i="2"/>
  <c r="T55" i="2" s="1"/>
  <c r="S56" i="2"/>
  <c r="T56" i="2" s="1"/>
  <c r="S57" i="2"/>
  <c r="AO57" i="2" s="1"/>
  <c r="S58" i="2"/>
  <c r="AO58" i="2" s="1"/>
  <c r="S59" i="2"/>
  <c r="V59" i="2" s="1"/>
  <c r="S60" i="2"/>
  <c r="V60" i="2" s="1"/>
  <c r="S61" i="2"/>
  <c r="AQ61" i="2" s="1"/>
  <c r="S62" i="2"/>
  <c r="T62" i="2" s="1"/>
  <c r="S63" i="2"/>
  <c r="T63" i="2" s="1"/>
  <c r="S64" i="2"/>
  <c r="T64" i="2" s="1"/>
  <c r="S65" i="2"/>
  <c r="T65" i="2" s="1"/>
  <c r="S66" i="2"/>
  <c r="T66" i="2" s="1"/>
  <c r="S67" i="2"/>
  <c r="T67" i="2" s="1"/>
  <c r="S68" i="2"/>
  <c r="AA68" i="2" s="1"/>
  <c r="S69" i="2"/>
  <c r="AO69" i="2" s="1"/>
  <c r="S70" i="2"/>
  <c r="T70" i="2" s="1"/>
  <c r="S71" i="2"/>
  <c r="V71" i="2" s="1"/>
  <c r="S72" i="2"/>
  <c r="AA72" i="2" s="1"/>
  <c r="S73" i="2"/>
  <c r="AQ73" i="2" s="1"/>
  <c r="S74" i="2"/>
  <c r="T74" i="2" s="1"/>
  <c r="S75" i="2"/>
  <c r="T75" i="2" s="1"/>
  <c r="S76" i="2"/>
  <c r="AE76" i="2" s="1"/>
  <c r="S77" i="2"/>
  <c r="AA77" i="2" s="1"/>
  <c r="S78" i="2"/>
  <c r="T78" i="2" s="1"/>
  <c r="S79" i="2"/>
  <c r="T79" i="2" s="1"/>
  <c r="S80" i="2"/>
  <c r="T80" i="2" s="1"/>
  <c r="S81" i="2"/>
  <c r="AO81" i="2" s="1"/>
  <c r="S82" i="2"/>
  <c r="T82" i="2" s="1"/>
  <c r="S83" i="2"/>
  <c r="V83" i="2" s="1"/>
  <c r="S84" i="2"/>
  <c r="V84" i="2" s="1"/>
  <c r="S85" i="2"/>
  <c r="AC85" i="2" s="1"/>
  <c r="S86" i="2"/>
  <c r="T86" i="2" s="1"/>
  <c r="S87" i="2"/>
  <c r="T87" i="2" s="1"/>
  <c r="S88" i="2"/>
  <c r="AE88" i="2" s="1"/>
  <c r="S89" i="2"/>
  <c r="T89" i="2" s="1"/>
  <c r="S90" i="2"/>
  <c r="T90" i="2" s="1"/>
  <c r="S91" i="2"/>
  <c r="T91" i="2" s="1"/>
  <c r="S92" i="2"/>
  <c r="AA92" i="2" s="1"/>
  <c r="S93" i="2"/>
  <c r="AE93" i="2" s="1"/>
  <c r="S94" i="2"/>
  <c r="T94" i="2" s="1"/>
  <c r="S95" i="2"/>
  <c r="V95" i="2" s="1"/>
  <c r="S96" i="2"/>
  <c r="AE96" i="2" s="1"/>
  <c r="S97" i="2"/>
  <c r="AO97" i="2" s="1"/>
  <c r="S98" i="2"/>
  <c r="T98" i="2" s="1"/>
  <c r="S99" i="2"/>
  <c r="T99" i="2" s="1"/>
  <c r="S100" i="2"/>
  <c r="T100" i="2" s="1"/>
  <c r="S101" i="2"/>
  <c r="T101" i="2" s="1"/>
  <c r="S102" i="2"/>
  <c r="T102" i="2" s="1"/>
  <c r="S103" i="2"/>
  <c r="T103" i="2" s="1"/>
  <c r="S104" i="2"/>
  <c r="V104" i="2" s="1"/>
  <c r="S105" i="2"/>
  <c r="AO105" i="2" s="1"/>
  <c r="T58" i="2"/>
  <c r="T92" i="2"/>
  <c r="V44" i="2"/>
  <c r="V80" i="2"/>
  <c r="AA58" i="2"/>
  <c r="AA80" i="2"/>
  <c r="AA104" i="2"/>
  <c r="AC56" i="2"/>
  <c r="AC68" i="2"/>
  <c r="AE70" i="2"/>
  <c r="AE80" i="2"/>
  <c r="AE92" i="2"/>
  <c r="AG44" i="2"/>
  <c r="AG58" i="2"/>
  <c r="AG68" i="2"/>
  <c r="AI44" i="2"/>
  <c r="AI56" i="2"/>
  <c r="AI68" i="2"/>
  <c r="AI104" i="2"/>
  <c r="AK44" i="2"/>
  <c r="AK56" i="2"/>
  <c r="AK80" i="2"/>
  <c r="AM45" i="2"/>
  <c r="AM68" i="2"/>
  <c r="AM80" i="2"/>
  <c r="AM92" i="2"/>
  <c r="AO92" i="2"/>
  <c r="AO104" i="2"/>
  <c r="AQ46" i="2"/>
  <c r="AQ68" i="2"/>
  <c r="AQ70" i="2"/>
  <c r="AQ104" i="2"/>
  <c r="AS44" i="2"/>
  <c r="AS56" i="2"/>
  <c r="F87" i="2"/>
  <c r="F59" i="2"/>
  <c r="F93" i="2"/>
  <c r="F55" i="2"/>
  <c r="F58" i="2"/>
  <c r="F56" i="2"/>
  <c r="F88" i="2"/>
  <c r="F102" i="2"/>
  <c r="F73" i="2"/>
  <c r="F96" i="2"/>
  <c r="F90" i="2"/>
  <c r="F84" i="2"/>
  <c r="F42" i="2"/>
  <c r="F100" i="2"/>
  <c r="F67" i="2"/>
  <c r="F81" i="2"/>
  <c r="F86" i="2"/>
  <c r="F43" i="2"/>
  <c r="F50" i="2"/>
  <c r="F91" i="2"/>
  <c r="F78" i="2"/>
  <c r="F45" i="2"/>
  <c r="F71" i="2"/>
  <c r="F68" i="2"/>
  <c r="F92" i="2"/>
  <c r="F79" i="2"/>
  <c r="F66" i="2"/>
  <c r="F49" i="2"/>
  <c r="F46" i="2"/>
  <c r="F53" i="2"/>
  <c r="F95" i="2"/>
  <c r="F69" i="2"/>
  <c r="F97" i="2"/>
  <c r="F41" i="2"/>
  <c r="F48" i="2"/>
  <c r="F51" i="2"/>
  <c r="F70" i="2"/>
  <c r="F40" i="2"/>
  <c r="F72" i="2"/>
  <c r="F44" i="2"/>
  <c r="F94" i="2"/>
  <c r="F101" i="2"/>
  <c r="F60" i="2"/>
  <c r="F82" i="2"/>
  <c r="F104" i="2"/>
  <c r="F74" i="2"/>
  <c r="F77" i="2"/>
  <c r="F75" i="2"/>
  <c r="F63" i="2"/>
  <c r="F47" i="2"/>
  <c r="F83" i="2"/>
  <c r="F99" i="2"/>
  <c r="F89" i="2"/>
  <c r="F54" i="2"/>
  <c r="F76" i="2"/>
  <c r="F85" i="2"/>
  <c r="F61" i="2"/>
  <c r="F62" i="2"/>
  <c r="F65" i="2"/>
  <c r="F52" i="2"/>
  <c r="F105" i="2"/>
  <c r="F80" i="2"/>
  <c r="F98" i="2"/>
  <c r="F64" i="2"/>
  <c r="F103" i="2"/>
  <c r="F57" i="2"/>
  <c r="AS58" i="2" l="1"/>
  <c r="AQ80" i="2"/>
  <c r="AM44" i="2"/>
  <c r="AK104" i="2"/>
  <c r="AG56" i="2"/>
  <c r="V92" i="2"/>
  <c r="AS92" i="2"/>
  <c r="AO80" i="2"/>
  <c r="AI92" i="2"/>
  <c r="AE56" i="2"/>
  <c r="T57" i="2"/>
  <c r="AS80" i="2"/>
  <c r="AM104" i="2"/>
  <c r="AI80" i="2"/>
  <c r="AC80" i="2"/>
  <c r="T44" i="2"/>
  <c r="AS94" i="2"/>
  <c r="AO94" i="2"/>
  <c r="T104" i="2"/>
  <c r="AS40" i="2"/>
  <c r="AQ82" i="2"/>
  <c r="AM52" i="2"/>
  <c r="AE46" i="2"/>
  <c r="AQ93" i="2"/>
  <c r="AO68" i="2"/>
  <c r="AK71" i="2"/>
  <c r="AG104" i="2"/>
  <c r="AC104" i="2"/>
  <c r="V68" i="2"/>
  <c r="AS104" i="2"/>
  <c r="AQ92" i="2"/>
  <c r="AO56" i="2"/>
  <c r="AK70" i="2"/>
  <c r="AG80" i="2"/>
  <c r="AC92" i="2"/>
  <c r="V50" i="2"/>
  <c r="AS95" i="2"/>
  <c r="AI105" i="2"/>
  <c r="T93" i="2"/>
  <c r="AC46" i="2"/>
  <c r="AS68" i="2"/>
  <c r="AQ56" i="2"/>
  <c r="AM56" i="2"/>
  <c r="AI100" i="2"/>
  <c r="AE104" i="2"/>
  <c r="AC44" i="2"/>
  <c r="AO41" i="2"/>
  <c r="AO40" i="2"/>
  <c r="AG96" i="2"/>
  <c r="T52" i="2"/>
  <c r="AG95" i="2"/>
  <c r="AQ41" i="2"/>
  <c r="AG94" i="2"/>
  <c r="AE40" i="2"/>
  <c r="AK64" i="2"/>
  <c r="AQ40" i="2"/>
  <c r="AG52" i="2"/>
  <c r="V88" i="2"/>
  <c r="AQ72" i="2"/>
  <c r="AG46" i="2"/>
  <c r="AS99" i="2"/>
  <c r="AE43" i="2"/>
  <c r="AS76" i="2"/>
  <c r="AQ71" i="2"/>
  <c r="AC70" i="2"/>
  <c r="AC51" i="2"/>
  <c r="AI43" i="2"/>
  <c r="AS52" i="2"/>
  <c r="AO62" i="2"/>
  <c r="V75" i="2"/>
  <c r="AS47" i="2"/>
  <c r="AM46" i="2"/>
  <c r="AG100" i="2"/>
  <c r="V70" i="2"/>
  <c r="AO63" i="2"/>
  <c r="AM49" i="2"/>
  <c r="AS46" i="2"/>
  <c r="AO46" i="2"/>
  <c r="AG99" i="2"/>
  <c r="AK86" i="2"/>
  <c r="AI91" i="2"/>
  <c r="AK85" i="2"/>
  <c r="AI89" i="2"/>
  <c r="AM67" i="2"/>
  <c r="AQ62" i="2"/>
  <c r="V63" i="2"/>
  <c r="AQ100" i="2"/>
  <c r="AM91" i="2"/>
  <c r="AK54" i="2"/>
  <c r="AG76" i="2"/>
  <c r="AC88" i="2"/>
  <c r="AQ98" i="2"/>
  <c r="AQ58" i="2"/>
  <c r="AO75" i="2"/>
  <c r="AK99" i="2"/>
  <c r="AK52" i="2"/>
  <c r="AI64" i="2"/>
  <c r="AG75" i="2"/>
  <c r="AE74" i="2"/>
  <c r="AA70" i="2"/>
  <c r="V61" i="2"/>
  <c r="AI86" i="2"/>
  <c r="AS79" i="2"/>
  <c r="AO77" i="2"/>
  <c r="AQ60" i="2"/>
  <c r="AO76" i="2"/>
  <c r="AK100" i="2"/>
  <c r="AS59" i="2"/>
  <c r="AM74" i="2"/>
  <c r="AK98" i="2"/>
  <c r="AG74" i="2"/>
  <c r="AE73" i="2"/>
  <c r="AC75" i="2"/>
  <c r="AA61" i="2"/>
  <c r="V58" i="2"/>
  <c r="AS98" i="2"/>
  <c r="AO61" i="2"/>
  <c r="AE50" i="2"/>
  <c r="AC63" i="2"/>
  <c r="AS97" i="2"/>
  <c r="AS50" i="2"/>
  <c r="AQ74" i="2"/>
  <c r="AK75" i="2"/>
  <c r="AI98" i="2"/>
  <c r="AC62" i="2"/>
  <c r="V86" i="2"/>
  <c r="AO87" i="2"/>
  <c r="AK63" i="2"/>
  <c r="AE98" i="2"/>
  <c r="AC89" i="2"/>
  <c r="V62" i="2"/>
  <c r="AQ97" i="2"/>
  <c r="AQ96" i="2"/>
  <c r="AG84" i="2"/>
  <c r="AQ64" i="2"/>
  <c r="AM102" i="2"/>
  <c r="AK94" i="2"/>
  <c r="AI94" i="2"/>
  <c r="AI55" i="2"/>
  <c r="AG82" i="2"/>
  <c r="AE52" i="2"/>
  <c r="AA84" i="2"/>
  <c r="V82" i="2"/>
  <c r="V46" i="2"/>
  <c r="AM66" i="2"/>
  <c r="AC79" i="2"/>
  <c r="AS91" i="2"/>
  <c r="AQ94" i="2"/>
  <c r="AO102" i="2"/>
  <c r="AM55" i="2"/>
  <c r="AS48" i="2"/>
  <c r="AO96" i="2"/>
  <c r="AM101" i="2"/>
  <c r="AM54" i="2"/>
  <c r="AK91" i="2"/>
  <c r="AI52" i="2"/>
  <c r="AG43" i="2"/>
  <c r="AC73" i="2"/>
  <c r="AO55" i="2"/>
  <c r="AK49" i="2"/>
  <c r="AO85" i="2"/>
  <c r="AK77" i="2"/>
  <c r="AE91" i="2"/>
  <c r="AQ55" i="2"/>
  <c r="AM79" i="2"/>
  <c r="AG73" i="2"/>
  <c r="AA48" i="2"/>
  <c r="AQ77" i="2"/>
  <c r="AO53" i="2"/>
  <c r="AK76" i="2"/>
  <c r="AK46" i="2"/>
  <c r="AI72" i="2"/>
  <c r="AA46" i="2"/>
  <c r="T76" i="2"/>
  <c r="V73" i="2"/>
  <c r="AS73" i="2"/>
  <c r="AM48" i="2"/>
  <c r="AQ79" i="2"/>
  <c r="AO54" i="2"/>
  <c r="AK48" i="2"/>
  <c r="AS67" i="2"/>
  <c r="AQ53" i="2"/>
  <c r="AS66" i="2"/>
  <c r="AQ102" i="2"/>
  <c r="AQ52" i="2"/>
  <c r="AO78" i="2"/>
  <c r="AO52" i="2"/>
  <c r="AM72" i="2"/>
  <c r="AI70" i="2"/>
  <c r="AG97" i="2"/>
  <c r="AG61" i="2"/>
  <c r="AE77" i="2"/>
  <c r="AC91" i="2"/>
  <c r="AC52" i="2"/>
  <c r="V100" i="2"/>
  <c r="T73" i="2"/>
  <c r="AI60" i="2"/>
  <c r="V91" i="2"/>
  <c r="AK67" i="2"/>
  <c r="V49" i="2"/>
  <c r="AQ48" i="2"/>
  <c r="AO51" i="2"/>
  <c r="AK43" i="2"/>
  <c r="AE72" i="2"/>
  <c r="AS63" i="2"/>
  <c r="AO72" i="2"/>
  <c r="AM88" i="2"/>
  <c r="AK61" i="2"/>
  <c r="AI77" i="2"/>
  <c r="AE103" i="2"/>
  <c r="AC99" i="2"/>
  <c r="V99" i="2"/>
  <c r="V40" i="2"/>
  <c r="AS83" i="2"/>
  <c r="AS61" i="2"/>
  <c r="AS42" i="2"/>
  <c r="AQ91" i="2"/>
  <c r="AQ66" i="2"/>
  <c r="AQ43" i="2"/>
  <c r="AO89" i="2"/>
  <c r="AO70" i="2"/>
  <c r="AO43" i="2"/>
  <c r="AM86" i="2"/>
  <c r="AM62" i="2"/>
  <c r="AK103" i="2"/>
  <c r="AK79" i="2"/>
  <c r="AK60" i="2"/>
  <c r="AI76" i="2"/>
  <c r="AI49" i="2"/>
  <c r="AG91" i="2"/>
  <c r="AG65" i="2"/>
  <c r="AE101" i="2"/>
  <c r="AE61" i="2"/>
  <c r="AC98" i="2"/>
  <c r="AC67" i="2"/>
  <c r="AA100" i="2"/>
  <c r="V97" i="2"/>
  <c r="V67" i="2"/>
  <c r="AO91" i="2"/>
  <c r="AM90" i="2"/>
  <c r="AK84" i="2"/>
  <c r="AC43" i="2"/>
  <c r="T49" i="2"/>
  <c r="AS84" i="2"/>
  <c r="AS43" i="2"/>
  <c r="AM64" i="2"/>
  <c r="AI50" i="2"/>
  <c r="AG67" i="2"/>
  <c r="AS100" i="2"/>
  <c r="AS82" i="2"/>
  <c r="AS60" i="2"/>
  <c r="AS41" i="2"/>
  <c r="AQ84" i="2"/>
  <c r="AQ65" i="2"/>
  <c r="AQ42" i="2"/>
  <c r="AO88" i="2"/>
  <c r="AO42" i="2"/>
  <c r="AM85" i="2"/>
  <c r="AK102" i="2"/>
  <c r="AK78" i="2"/>
  <c r="AK58" i="2"/>
  <c r="AI103" i="2"/>
  <c r="AI74" i="2"/>
  <c r="AI46" i="2"/>
  <c r="AG85" i="2"/>
  <c r="AG63" i="2"/>
  <c r="AE100" i="2"/>
  <c r="AE58" i="2"/>
  <c r="AC65" i="2"/>
  <c r="AA85" i="2"/>
  <c r="V64" i="2"/>
  <c r="T97" i="2"/>
  <c r="AS96" i="2"/>
  <c r="AS74" i="2"/>
  <c r="AQ78" i="2"/>
  <c r="AO103" i="2"/>
  <c r="AO79" i="2"/>
  <c r="AM103" i="2"/>
  <c r="AM73" i="2"/>
  <c r="AM50" i="2"/>
  <c r="AK97" i="2"/>
  <c r="AK51" i="2"/>
  <c r="AI67" i="2"/>
  <c r="AG101" i="2"/>
  <c r="AG79" i="2"/>
  <c r="AG55" i="2"/>
  <c r="AE85" i="2"/>
  <c r="AE49" i="2"/>
  <c r="AC87" i="2"/>
  <c r="AC53" i="2"/>
  <c r="AA65" i="2"/>
  <c r="V85" i="2"/>
  <c r="AS65" i="2"/>
  <c r="AI79" i="2"/>
  <c r="AS85" i="2"/>
  <c r="AO74" i="2"/>
  <c r="AM65" i="2"/>
  <c r="AK62" i="2"/>
  <c r="AC101" i="2"/>
  <c r="V43" i="2"/>
  <c r="AO90" i="2"/>
  <c r="AS72" i="2"/>
  <c r="AO101" i="2"/>
  <c r="AO50" i="2"/>
  <c r="AM78" i="2"/>
  <c r="AK74" i="2"/>
  <c r="AK41" i="2"/>
  <c r="AG72" i="2"/>
  <c r="AE97" i="2"/>
  <c r="AA97" i="2"/>
  <c r="T41" i="2"/>
  <c r="AS103" i="2"/>
  <c r="AS87" i="2"/>
  <c r="AS70" i="2"/>
  <c r="AS54" i="2"/>
  <c r="AQ86" i="2"/>
  <c r="AQ50" i="2"/>
  <c r="AO100" i="2"/>
  <c r="AO82" i="2"/>
  <c r="AO65" i="2"/>
  <c r="AO49" i="2"/>
  <c r="AM95" i="2"/>
  <c r="AM77" i="2"/>
  <c r="AM60" i="2"/>
  <c r="AM43" i="2"/>
  <c r="AK89" i="2"/>
  <c r="AK73" i="2"/>
  <c r="AI84" i="2"/>
  <c r="AI62" i="2"/>
  <c r="AG103" i="2"/>
  <c r="AG88" i="2"/>
  <c r="AG70" i="2"/>
  <c r="AG49" i="2"/>
  <c r="AE94" i="2"/>
  <c r="AE65" i="2"/>
  <c r="AC82" i="2"/>
  <c r="AA94" i="2"/>
  <c r="AA40" i="2"/>
  <c r="V55" i="2"/>
  <c r="T88" i="2"/>
  <c r="AS55" i="2"/>
  <c r="AQ89" i="2"/>
  <c r="AO83" i="2"/>
  <c r="AM97" i="2"/>
  <c r="AM61" i="2"/>
  <c r="AK90" i="2"/>
  <c r="AG89" i="2"/>
  <c r="AG50" i="2"/>
  <c r="AE67" i="2"/>
  <c r="AC61" i="2"/>
  <c r="AS102" i="2"/>
  <c r="AS86" i="2"/>
  <c r="AS53" i="2"/>
  <c r="AQ103" i="2"/>
  <c r="AQ85" i="2"/>
  <c r="AQ67" i="2"/>
  <c r="AQ49" i="2"/>
  <c r="AO98" i="2"/>
  <c r="AO64" i="2"/>
  <c r="AO48" i="2"/>
  <c r="AM94" i="2"/>
  <c r="AM76" i="2"/>
  <c r="AM58" i="2"/>
  <c r="AM41" i="2"/>
  <c r="AK87" i="2"/>
  <c r="AK72" i="2"/>
  <c r="AK55" i="2"/>
  <c r="AI82" i="2"/>
  <c r="AI61" i="2"/>
  <c r="AG102" i="2"/>
  <c r="AG87" i="2"/>
  <c r="AG48" i="2"/>
  <c r="AE62" i="2"/>
  <c r="AC103" i="2"/>
  <c r="AC55" i="2"/>
  <c r="AA89" i="2"/>
  <c r="V103" i="2"/>
  <c r="V79" i="2"/>
  <c r="V51" i="2"/>
  <c r="T85" i="2"/>
  <c r="AM89" i="2"/>
  <c r="AK65" i="2"/>
  <c r="AK50" i="2"/>
  <c r="AI97" i="2"/>
  <c r="AG98" i="2"/>
  <c r="AG62" i="2"/>
  <c r="AG42" i="2"/>
  <c r="AE79" i="2"/>
  <c r="AE55" i="2"/>
  <c r="AC97" i="2"/>
  <c r="AC49" i="2"/>
  <c r="AA73" i="2"/>
  <c r="T61" i="2"/>
  <c r="V87" i="2"/>
  <c r="AS89" i="2"/>
  <c r="AO67" i="2"/>
  <c r="AI85" i="2"/>
  <c r="AS78" i="2"/>
  <c r="AM100" i="2"/>
  <c r="AM71" i="2"/>
  <c r="AK96" i="2"/>
  <c r="AI41" i="2"/>
  <c r="AG41" i="2"/>
  <c r="AE68" i="2"/>
  <c r="AA56" i="2"/>
  <c r="AS90" i="2"/>
  <c r="AS77" i="2"/>
  <c r="AS64" i="2"/>
  <c r="AS51" i="2"/>
  <c r="AQ90" i="2"/>
  <c r="AQ76" i="2"/>
  <c r="AQ47" i="2"/>
  <c r="AO99" i="2"/>
  <c r="AO86" i="2"/>
  <c r="AO73" i="2"/>
  <c r="AO60" i="2"/>
  <c r="AO47" i="2"/>
  <c r="AM98" i="2"/>
  <c r="AM84" i="2"/>
  <c r="AM70" i="2"/>
  <c r="AM42" i="2"/>
  <c r="AK95" i="2"/>
  <c r="AK82" i="2"/>
  <c r="AK68" i="2"/>
  <c r="AK42" i="2"/>
  <c r="AI73" i="2"/>
  <c r="AI58" i="2"/>
  <c r="AI40" i="2"/>
  <c r="AG92" i="2"/>
  <c r="AG66" i="2"/>
  <c r="AG53" i="2"/>
  <c r="AG40" i="2"/>
  <c r="AE86" i="2"/>
  <c r="AE48" i="2"/>
  <c r="AC94" i="2"/>
  <c r="AC76" i="2"/>
  <c r="AC58" i="2"/>
  <c r="AC40" i="2"/>
  <c r="AA82" i="2"/>
  <c r="AA53" i="2"/>
  <c r="V98" i="2"/>
  <c r="V76" i="2"/>
  <c r="V56" i="2"/>
  <c r="T96" i="2"/>
  <c r="T68" i="2"/>
  <c r="AO59" i="2"/>
  <c r="AM83" i="2"/>
  <c r="AA52" i="2"/>
  <c r="T95" i="2"/>
  <c r="AG78" i="2"/>
  <c r="AS101" i="2"/>
  <c r="AS88" i="2"/>
  <c r="AS75" i="2"/>
  <c r="AS62" i="2"/>
  <c r="AS49" i="2"/>
  <c r="AQ101" i="2"/>
  <c r="AQ88" i="2"/>
  <c r="AQ59" i="2"/>
  <c r="AQ44" i="2"/>
  <c r="AO84" i="2"/>
  <c r="AO71" i="2"/>
  <c r="AO44" i="2"/>
  <c r="AM96" i="2"/>
  <c r="AM82" i="2"/>
  <c r="AM53" i="2"/>
  <c r="AM40" i="2"/>
  <c r="AK92" i="2"/>
  <c r="AK66" i="2"/>
  <c r="AK53" i="2"/>
  <c r="AK40" i="2"/>
  <c r="AI88" i="2"/>
  <c r="AI71" i="2"/>
  <c r="AG90" i="2"/>
  <c r="AG77" i="2"/>
  <c r="AG64" i="2"/>
  <c r="AG51" i="2"/>
  <c r="AE82" i="2"/>
  <c r="AE64" i="2"/>
  <c r="AE44" i="2"/>
  <c r="AC74" i="2"/>
  <c r="AA101" i="2"/>
  <c r="AA76" i="2"/>
  <c r="V94" i="2"/>
  <c r="V74" i="2"/>
  <c r="T60" i="2"/>
  <c r="T59" i="2"/>
  <c r="AO95" i="2"/>
  <c r="AA71" i="2"/>
  <c r="AA47" i="2"/>
  <c r="AE59" i="2"/>
  <c r="AS71" i="2"/>
  <c r="AQ83" i="2"/>
  <c r="AQ54" i="2"/>
  <c r="AO66" i="2"/>
  <c r="AK101" i="2"/>
  <c r="AK88" i="2"/>
  <c r="AI101" i="2"/>
  <c r="AI65" i="2"/>
  <c r="AI48" i="2"/>
  <c r="AG86" i="2"/>
  <c r="AG60" i="2"/>
  <c r="AG47" i="2"/>
  <c r="AC86" i="2"/>
  <c r="AC50" i="2"/>
  <c r="AQ95" i="2"/>
  <c r="AM47" i="2"/>
  <c r="AI47" i="2"/>
  <c r="AG59" i="2"/>
  <c r="AE95" i="2"/>
  <c r="AK47" i="2"/>
  <c r="AG71" i="2"/>
  <c r="AC100" i="2"/>
  <c r="AC64" i="2"/>
  <c r="AA88" i="2"/>
  <c r="AA64" i="2"/>
  <c r="T77" i="2"/>
  <c r="AM59" i="2"/>
  <c r="AK59" i="2"/>
  <c r="AG83" i="2"/>
  <c r="AK83" i="2"/>
  <c r="AI59" i="2"/>
  <c r="AG54" i="2"/>
  <c r="AC77" i="2"/>
  <c r="AC41" i="2"/>
  <c r="AA83" i="2"/>
  <c r="AM57" i="2"/>
  <c r="AE105" i="2"/>
  <c r="AE47" i="2"/>
  <c r="V102" i="2"/>
  <c r="V90" i="2"/>
  <c r="V78" i="2"/>
  <c r="V66" i="2"/>
  <c r="V54" i="2"/>
  <c r="V42" i="2"/>
  <c r="T72" i="2"/>
  <c r="AM69" i="2"/>
  <c r="AI45" i="2"/>
  <c r="AE89" i="2"/>
  <c r="AE60" i="2"/>
  <c r="AA105" i="2"/>
  <c r="AA69" i="2"/>
  <c r="V101" i="2"/>
  <c r="V89" i="2"/>
  <c r="V77" i="2"/>
  <c r="V65" i="2"/>
  <c r="V53" i="2"/>
  <c r="V41" i="2"/>
  <c r="T71" i="2"/>
  <c r="T53" i="2"/>
  <c r="AM81" i="2"/>
  <c r="AE45" i="2"/>
  <c r="AS105" i="2"/>
  <c r="AS57" i="2"/>
  <c r="AI57" i="2"/>
  <c r="T105" i="2"/>
  <c r="T69" i="2"/>
  <c r="AS93" i="2"/>
  <c r="AM93" i="2"/>
  <c r="AQ45" i="2"/>
  <c r="AM105" i="2"/>
  <c r="AE71" i="2"/>
  <c r="AE57" i="2"/>
  <c r="AC96" i="2"/>
  <c r="AC84" i="2"/>
  <c r="AC72" i="2"/>
  <c r="AC60" i="2"/>
  <c r="AC48" i="2"/>
  <c r="T84" i="2"/>
  <c r="T48" i="2"/>
  <c r="AS69" i="2"/>
  <c r="AQ57" i="2"/>
  <c r="AK105" i="2"/>
  <c r="AK93" i="2"/>
  <c r="AK81" i="2"/>
  <c r="AK69" i="2"/>
  <c r="AK57" i="2"/>
  <c r="AK45" i="2"/>
  <c r="AI83" i="2"/>
  <c r="AI69" i="2"/>
  <c r="AE84" i="2"/>
  <c r="AE41" i="2"/>
  <c r="AC95" i="2"/>
  <c r="AC83" i="2"/>
  <c r="AC71" i="2"/>
  <c r="AC59" i="2"/>
  <c r="AC47" i="2"/>
  <c r="AA81" i="2"/>
  <c r="AA45" i="2"/>
  <c r="T83" i="2"/>
  <c r="T47" i="2"/>
  <c r="AS81" i="2"/>
  <c r="AQ69" i="2"/>
  <c r="AI96" i="2"/>
  <c r="AI53" i="2"/>
  <c r="AG105" i="2"/>
  <c r="AG93" i="2"/>
  <c r="AG81" i="2"/>
  <c r="AG69" i="2"/>
  <c r="AG57" i="2"/>
  <c r="AG45" i="2"/>
  <c r="AE83" i="2"/>
  <c r="AE69" i="2"/>
  <c r="AA96" i="2"/>
  <c r="AA60" i="2"/>
  <c r="V96" i="2"/>
  <c r="V72" i="2"/>
  <c r="AS45" i="2"/>
  <c r="AQ81" i="2"/>
  <c r="AI95" i="2"/>
  <c r="AI81" i="2"/>
  <c r="AC105" i="2"/>
  <c r="AC93" i="2"/>
  <c r="AC81" i="2"/>
  <c r="AC69" i="2"/>
  <c r="AC57" i="2"/>
  <c r="AC45" i="2"/>
  <c r="AA95" i="2"/>
  <c r="AA59" i="2"/>
  <c r="T81" i="2"/>
  <c r="T45" i="2"/>
  <c r="AE81" i="2"/>
  <c r="AQ105" i="2"/>
  <c r="AI93" i="2"/>
  <c r="AA93" i="2"/>
  <c r="AA57" i="2"/>
  <c r="V105" i="2"/>
  <c r="V93" i="2"/>
  <c r="V81" i="2"/>
  <c r="V69" i="2"/>
  <c r="V57" i="2"/>
  <c r="V45" i="2"/>
  <c r="AO93" i="2"/>
  <c r="AC102" i="2"/>
  <c r="AC90" i="2"/>
  <c r="AC78" i="2"/>
  <c r="AC66" i="2"/>
  <c r="AC54" i="2"/>
  <c r="AC42" i="2"/>
  <c r="AA103" i="2"/>
  <c r="AA91" i="2"/>
  <c r="AA79" i="2"/>
  <c r="AA67" i="2"/>
  <c r="AA55" i="2"/>
  <c r="AA43" i="2"/>
  <c r="AI102" i="2"/>
  <c r="AI90" i="2"/>
  <c r="AI78" i="2"/>
  <c r="AI66" i="2"/>
  <c r="AI54" i="2"/>
  <c r="AI42" i="2"/>
  <c r="AE102" i="2"/>
  <c r="AE90" i="2"/>
  <c r="AE78" i="2"/>
  <c r="AE66" i="2"/>
  <c r="AE54" i="2"/>
  <c r="AE42" i="2"/>
  <c r="AA102" i="2"/>
  <c r="AA90" i="2"/>
  <c r="AA78" i="2"/>
  <c r="AA66" i="2"/>
  <c r="AA54" i="2"/>
  <c r="AA42" i="2"/>
  <c r="AQ99" i="2"/>
  <c r="AQ87" i="2"/>
  <c r="AQ75" i="2"/>
  <c r="AQ63" i="2"/>
  <c r="AQ51" i="2"/>
  <c r="AM99" i="2"/>
  <c r="AM87" i="2"/>
  <c r="AM75" i="2"/>
  <c r="AM63" i="2"/>
  <c r="AM51" i="2"/>
  <c r="AI99" i="2"/>
  <c r="AI87" i="2"/>
  <c r="AI75" i="2"/>
  <c r="AI63" i="2"/>
  <c r="AI51" i="2"/>
  <c r="AE99" i="2"/>
  <c r="AE87" i="2"/>
  <c r="AE75" i="2"/>
  <c r="AE63" i="2"/>
  <c r="AE51" i="2"/>
  <c r="AA99" i="2"/>
  <c r="AA87" i="2"/>
  <c r="AA75" i="2"/>
  <c r="AA63" i="2"/>
  <c r="AA51" i="2"/>
  <c r="AA98" i="2"/>
  <c r="AA86" i="2"/>
  <c r="AA74" i="2"/>
  <c r="AA62" i="2"/>
  <c r="AA50" i="2"/>
  <c r="S95" i="1" l="1"/>
  <c r="AG95" i="1" s="1"/>
  <c r="S96" i="1"/>
  <c r="AS96" i="1" s="1"/>
  <c r="S97" i="1"/>
  <c r="V97" i="1" s="1"/>
  <c r="S98" i="1"/>
  <c r="AA98" i="1" s="1"/>
  <c r="S99" i="1"/>
  <c r="AO99" i="1" s="1"/>
  <c r="S100" i="1"/>
  <c r="AC100" i="1" s="1"/>
  <c r="S101" i="1"/>
  <c r="T101" i="1" s="1"/>
  <c r="S102" i="1"/>
  <c r="V102" i="1" s="1"/>
  <c r="S103" i="1"/>
  <c r="AG103" i="1" s="1"/>
  <c r="S104" i="1"/>
  <c r="AI104" i="1" s="1"/>
  <c r="S105" i="1"/>
  <c r="AA105" i="1" s="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S40" i="1"/>
  <c r="AA40" i="1" s="1"/>
  <c r="S41" i="1"/>
  <c r="AG41" i="1" s="1"/>
  <c r="S42" i="1"/>
  <c r="T42" i="1" s="1"/>
  <c r="S43" i="1"/>
  <c r="V43" i="1" s="1"/>
  <c r="S44" i="1"/>
  <c r="V44" i="1" s="1"/>
  <c r="S45" i="1"/>
  <c r="AQ45" i="1" s="1"/>
  <c r="S46" i="1"/>
  <c r="AK46" i="1" s="1"/>
  <c r="S47" i="1"/>
  <c r="T47" i="1" s="1"/>
  <c r="S48" i="1"/>
  <c r="AC48" i="1" s="1"/>
  <c r="S49" i="1"/>
  <c r="AA49" i="1" s="1"/>
  <c r="S50" i="1"/>
  <c r="AC50" i="1" s="1"/>
  <c r="S51" i="1"/>
  <c r="T51" i="1" s="1"/>
  <c r="S52" i="1"/>
  <c r="T52" i="1" s="1"/>
  <c r="S53" i="1"/>
  <c r="AG53" i="1" s="1"/>
  <c r="S54" i="1"/>
  <c r="T54" i="1" s="1"/>
  <c r="S55" i="1"/>
  <c r="V55" i="1" s="1"/>
  <c r="S56" i="1"/>
  <c r="AA56" i="1" s="1"/>
  <c r="S57" i="1"/>
  <c r="AS57" i="1" s="1"/>
  <c r="S58" i="1"/>
  <c r="AK58" i="1" s="1"/>
  <c r="S59" i="1"/>
  <c r="T59" i="1" s="1"/>
  <c r="S60" i="1"/>
  <c r="AC60" i="1" s="1"/>
  <c r="S61" i="1"/>
  <c r="AK61" i="1" s="1"/>
  <c r="S62" i="1"/>
  <c r="AC62" i="1" s="1"/>
  <c r="S63" i="1"/>
  <c r="T63" i="1" s="1"/>
  <c r="S64" i="1"/>
  <c r="V64" i="1" s="1"/>
  <c r="S65" i="1"/>
  <c r="AG65" i="1" s="1"/>
  <c r="S66" i="1"/>
  <c r="T66" i="1" s="1"/>
  <c r="S67" i="1"/>
  <c r="T67" i="1" s="1"/>
  <c r="S68" i="1"/>
  <c r="AI68" i="1" s="1"/>
  <c r="S69" i="1"/>
  <c r="AY69" i="1" s="1"/>
  <c r="S70" i="1"/>
  <c r="AK70" i="1" s="1"/>
  <c r="S71" i="1"/>
  <c r="AG71" i="1" s="1"/>
  <c r="S72" i="1"/>
  <c r="AC72" i="1" s="1"/>
  <c r="S73" i="1"/>
  <c r="AI73" i="1" s="1"/>
  <c r="S74" i="1"/>
  <c r="AC74" i="1" s="1"/>
  <c r="S75" i="1"/>
  <c r="T75" i="1" s="1"/>
  <c r="S76" i="1"/>
  <c r="AA76" i="1" s="1"/>
  <c r="S77" i="1"/>
  <c r="AG77" i="1" s="1"/>
  <c r="S78" i="1"/>
  <c r="T78" i="1" s="1"/>
  <c r="S79" i="1"/>
  <c r="V79" i="1" s="1"/>
  <c r="S80" i="1"/>
  <c r="AG80" i="1" s="1"/>
  <c r="S81" i="1"/>
  <c r="T81" i="1" s="1"/>
  <c r="S82" i="1"/>
  <c r="AK82" i="1" s="1"/>
  <c r="S83" i="1"/>
  <c r="T83" i="1" s="1"/>
  <c r="S84" i="1"/>
  <c r="AC84" i="1" s="1"/>
  <c r="S85" i="1"/>
  <c r="AK85" i="1" s="1"/>
  <c r="S86" i="1"/>
  <c r="V86" i="1" s="1"/>
  <c r="S87" i="1"/>
  <c r="T87" i="1" s="1"/>
  <c r="S88" i="1"/>
  <c r="V88" i="1" s="1"/>
  <c r="S89" i="1"/>
  <c r="AA89" i="1" s="1"/>
  <c r="S90" i="1"/>
  <c r="T90" i="1" s="1"/>
  <c r="S91" i="1"/>
  <c r="V91" i="1" s="1"/>
  <c r="S92" i="1"/>
  <c r="AO92" i="1" s="1"/>
  <c r="S93" i="1"/>
  <c r="AS93" i="1" s="1"/>
  <c r="S94" i="1"/>
  <c r="AE94" i="1" s="1"/>
  <c r="F93" i="1"/>
  <c r="F96" i="1"/>
  <c r="F45" i="1"/>
  <c r="F60" i="1"/>
  <c r="F80" i="1"/>
  <c r="F47" i="1"/>
  <c r="F42" i="1"/>
  <c r="F52" i="1"/>
  <c r="F65" i="1"/>
  <c r="F90" i="1"/>
  <c r="F57" i="1"/>
  <c r="F103" i="1"/>
  <c r="F73" i="1"/>
  <c r="F98" i="1"/>
  <c r="F40" i="1"/>
  <c r="F69" i="1"/>
  <c r="F61" i="1"/>
  <c r="F86" i="1"/>
  <c r="F85" i="1"/>
  <c r="F67" i="1"/>
  <c r="F50" i="1"/>
  <c r="F87" i="1"/>
  <c r="F62" i="1"/>
  <c r="F71" i="1"/>
  <c r="F89" i="1"/>
  <c r="F79" i="1"/>
  <c r="F88" i="1"/>
  <c r="F41" i="1"/>
  <c r="F75" i="1"/>
  <c r="F78" i="1"/>
  <c r="F82" i="1"/>
  <c r="F74" i="1"/>
  <c r="F53" i="1"/>
  <c r="F51" i="1"/>
  <c r="F102" i="1"/>
  <c r="F94" i="1"/>
  <c r="F64" i="1"/>
  <c r="F105" i="1"/>
  <c r="F49" i="1"/>
  <c r="F58" i="1"/>
  <c r="F59" i="1"/>
  <c r="F48" i="1"/>
  <c r="F54" i="1"/>
  <c r="F72" i="1"/>
  <c r="F81" i="1"/>
  <c r="F66" i="1"/>
  <c r="F84" i="1"/>
  <c r="F100" i="1"/>
  <c r="F95" i="1"/>
  <c r="F91" i="1"/>
  <c r="F76" i="1"/>
  <c r="F68" i="1"/>
  <c r="F77" i="1"/>
  <c r="F92" i="1"/>
  <c r="F43" i="1"/>
  <c r="F63" i="1"/>
  <c r="F104" i="1"/>
  <c r="F44" i="1"/>
  <c r="F70" i="1"/>
  <c r="F101" i="1"/>
  <c r="F56" i="1"/>
  <c r="F99" i="1"/>
  <c r="F97" i="1"/>
  <c r="F83" i="1"/>
  <c r="F46" i="1"/>
  <c r="F55" i="1"/>
  <c r="AG76" i="1" l="1"/>
  <c r="AG56" i="1"/>
  <c r="AG102" i="1"/>
  <c r="AI105" i="1"/>
  <c r="AW54" i="1"/>
  <c r="AO95" i="1"/>
  <c r="AM105" i="1"/>
  <c r="BA105" i="1"/>
  <c r="AY105" i="1"/>
  <c r="AS105" i="1"/>
  <c r="AE105" i="1"/>
  <c r="AQ105" i="1"/>
  <c r="AO105" i="1"/>
  <c r="AQ59" i="1"/>
  <c r="AK104" i="1"/>
  <c r="AY48" i="1"/>
  <c r="AK95" i="1"/>
  <c r="AY49" i="1"/>
  <c r="AK101" i="1"/>
  <c r="AW95" i="1"/>
  <c r="AQ103" i="1"/>
  <c r="AG85" i="1"/>
  <c r="AK99" i="1"/>
  <c r="BA99" i="1"/>
  <c r="AW99" i="1"/>
  <c r="AM100" i="1"/>
  <c r="V73" i="1"/>
  <c r="T99" i="1"/>
  <c r="AK100" i="1"/>
  <c r="AQ100" i="1"/>
  <c r="AQ69" i="1"/>
  <c r="AK103" i="1"/>
  <c r="BA85" i="1"/>
  <c r="AQ57" i="1"/>
  <c r="BA49" i="1"/>
  <c r="AC104" i="1"/>
  <c r="AK45" i="1"/>
  <c r="AC49" i="1"/>
  <c r="AS100" i="1"/>
  <c r="V104" i="1"/>
  <c r="AS99" i="1"/>
  <c r="AO49" i="1"/>
  <c r="AI85" i="1"/>
  <c r="V100" i="1"/>
  <c r="AG49" i="1"/>
  <c r="AU71" i="1"/>
  <c r="AE61" i="1"/>
  <c r="AU61" i="1"/>
  <c r="AK57" i="1"/>
  <c r="BA43" i="1"/>
  <c r="AO98" i="1"/>
  <c r="BA42" i="1"/>
  <c r="AY85" i="1"/>
  <c r="AS49" i="1"/>
  <c r="AI45" i="1"/>
  <c r="V99" i="1"/>
  <c r="T104" i="1"/>
  <c r="AQ73" i="1"/>
  <c r="V49" i="1"/>
  <c r="AU104" i="1"/>
  <c r="AY83" i="1"/>
  <c r="AY61" i="1"/>
  <c r="AO97" i="1"/>
  <c r="AK52" i="1"/>
  <c r="AE73" i="1"/>
  <c r="T100" i="1"/>
  <c r="T95" i="1"/>
  <c r="AK42" i="1"/>
  <c r="T49" i="1"/>
  <c r="AC56" i="1"/>
  <c r="BA61" i="1"/>
  <c r="AW56" i="1"/>
  <c r="AQ95" i="1"/>
  <c r="AA61" i="1"/>
  <c r="BA98" i="1"/>
  <c r="BA97" i="1"/>
  <c r="AY98" i="1"/>
  <c r="AS98" i="1"/>
  <c r="AO56" i="1"/>
  <c r="AI80" i="1"/>
  <c r="AE80" i="1"/>
  <c r="BA95" i="1"/>
  <c r="AY97" i="1"/>
  <c r="AY42" i="1"/>
  <c r="AU102" i="1"/>
  <c r="AS95" i="1"/>
  <c r="AI66" i="1"/>
  <c r="AA101" i="1"/>
  <c r="BA92" i="1"/>
  <c r="AY95" i="1"/>
  <c r="AW100" i="1"/>
  <c r="AU100" i="1"/>
  <c r="AS90" i="1"/>
  <c r="AQ61" i="1"/>
  <c r="AO47" i="1"/>
  <c r="AK97" i="1"/>
  <c r="AI46" i="1"/>
  <c r="AE71" i="1"/>
  <c r="AA95" i="1"/>
  <c r="T98" i="1"/>
  <c r="AW44" i="1"/>
  <c r="BA91" i="1"/>
  <c r="AY92" i="1"/>
  <c r="AU80" i="1"/>
  <c r="AS80" i="1"/>
  <c r="AA92" i="1"/>
  <c r="AY90" i="1"/>
  <c r="AW98" i="1"/>
  <c r="AU76" i="1"/>
  <c r="AM102" i="1"/>
  <c r="AK66" i="1"/>
  <c r="AI44" i="1"/>
  <c r="AE59" i="1"/>
  <c r="T56" i="1"/>
  <c r="AQ98" i="1"/>
  <c r="AS44" i="1"/>
  <c r="AO102" i="1"/>
  <c r="V68" i="1"/>
  <c r="AE44" i="1"/>
  <c r="BA56" i="1"/>
  <c r="AW92" i="1"/>
  <c r="AM98" i="1"/>
  <c r="AY71" i="1"/>
  <c r="AW91" i="1"/>
  <c r="AU59" i="1"/>
  <c r="AO101" i="1"/>
  <c r="AM95" i="1"/>
  <c r="AC92" i="1"/>
  <c r="BA44" i="1"/>
  <c r="AY68" i="1"/>
  <c r="AW59" i="1"/>
  <c r="AU56" i="1"/>
  <c r="AQ102" i="1"/>
  <c r="AO100" i="1"/>
  <c r="AM44" i="1"/>
  <c r="AK44" i="1"/>
  <c r="AG61" i="1"/>
  <c r="AC73" i="1"/>
  <c r="V95" i="1"/>
  <c r="AC44" i="1"/>
  <c r="AY44" i="1"/>
  <c r="AC42" i="1"/>
  <c r="AU49" i="1"/>
  <c r="AQ56" i="1"/>
  <c r="AG44" i="1"/>
  <c r="BA78" i="1"/>
  <c r="AW104" i="1"/>
  <c r="AU47" i="1"/>
  <c r="AQ49" i="1"/>
  <c r="AM90" i="1"/>
  <c r="AI102" i="1"/>
  <c r="T97" i="1"/>
  <c r="BA103" i="1"/>
  <c r="AY103" i="1"/>
  <c r="AW103" i="1"/>
  <c r="AU97" i="1"/>
  <c r="AQ92" i="1"/>
  <c r="AO73" i="1"/>
  <c r="AK93" i="1"/>
  <c r="AE104" i="1"/>
  <c r="BA102" i="1"/>
  <c r="BA71" i="1"/>
  <c r="AY102" i="1"/>
  <c r="AY78" i="1"/>
  <c r="AW102" i="1"/>
  <c r="AW68" i="1"/>
  <c r="AU95" i="1"/>
  <c r="AS67" i="1"/>
  <c r="AQ90" i="1"/>
  <c r="AO68" i="1"/>
  <c r="AM68" i="1"/>
  <c r="AK78" i="1"/>
  <c r="AI98" i="1"/>
  <c r="AG98" i="1"/>
  <c r="AE100" i="1"/>
  <c r="AC98" i="1"/>
  <c r="AA100" i="1"/>
  <c r="V85" i="1"/>
  <c r="T80" i="1"/>
  <c r="AE95" i="1"/>
  <c r="AS73" i="1"/>
  <c r="AO80" i="1"/>
  <c r="BA104" i="1"/>
  <c r="AY81" i="1"/>
  <c r="AU98" i="1"/>
  <c r="AS71" i="1"/>
  <c r="AO79" i="1"/>
  <c r="AG100" i="1"/>
  <c r="AA102" i="1"/>
  <c r="BA73" i="1"/>
  <c r="AY80" i="1"/>
  <c r="AW73" i="1"/>
  <c r="AU44" i="1"/>
  <c r="AQ44" i="1"/>
  <c r="AM85" i="1"/>
  <c r="AI100" i="1"/>
  <c r="AG99" i="1"/>
  <c r="AC99" i="1"/>
  <c r="BA100" i="1"/>
  <c r="BA68" i="1"/>
  <c r="AY100" i="1"/>
  <c r="AY73" i="1"/>
  <c r="AW101" i="1"/>
  <c r="AW64" i="1"/>
  <c r="AU85" i="1"/>
  <c r="AS102" i="1"/>
  <c r="AS56" i="1"/>
  <c r="AQ85" i="1"/>
  <c r="AO103" i="1"/>
  <c r="AO59" i="1"/>
  <c r="AM61" i="1"/>
  <c r="AK68" i="1"/>
  <c r="AI92" i="1"/>
  <c r="AG92" i="1"/>
  <c r="AE98" i="1"/>
  <c r="AC95" i="1"/>
  <c r="AA97" i="1"/>
  <c r="V80" i="1"/>
  <c r="T71" i="1"/>
  <c r="AK56" i="1"/>
  <c r="AQ68" i="1"/>
  <c r="AG73" i="1"/>
  <c r="AC68" i="1"/>
  <c r="AA73" i="1"/>
  <c r="V61" i="1"/>
  <c r="BA47" i="1"/>
  <c r="AY93" i="1"/>
  <c r="AY56" i="1"/>
  <c r="AW97" i="1"/>
  <c r="AW49" i="1"/>
  <c r="AU68" i="1"/>
  <c r="AS97" i="1"/>
  <c r="AQ104" i="1"/>
  <c r="AQ67" i="1"/>
  <c r="AK102" i="1"/>
  <c r="AI56" i="1"/>
  <c r="AG68" i="1"/>
  <c r="AE67" i="1"/>
  <c r="AC59" i="1"/>
  <c r="AA71" i="1"/>
  <c r="V56" i="1"/>
  <c r="BA80" i="1"/>
  <c r="AW85" i="1"/>
  <c r="AY104" i="1"/>
  <c r="AW80" i="1"/>
  <c r="AS68" i="1"/>
  <c r="V92" i="1"/>
  <c r="AY79" i="1"/>
  <c r="AW105" i="1"/>
  <c r="AW87" i="1"/>
  <c r="AU105" i="1"/>
  <c r="AK81" i="1"/>
  <c r="AG105" i="1"/>
  <c r="AS88" i="1"/>
  <c r="AO42" i="1"/>
  <c r="AK105" i="1"/>
  <c r="AI95" i="1"/>
  <c r="AC105" i="1"/>
  <c r="AA42" i="1"/>
  <c r="V105" i="1"/>
  <c r="T105" i="1"/>
  <c r="AY66" i="1"/>
  <c r="AW66" i="1"/>
  <c r="AQ97" i="1"/>
  <c r="AO90" i="1"/>
  <c r="AM101" i="1"/>
  <c r="AI50" i="1"/>
  <c r="BA55" i="1"/>
  <c r="AU91" i="1"/>
  <c r="AS64" i="1"/>
  <c r="AI101" i="1"/>
  <c r="T79" i="1"/>
  <c r="AS91" i="1"/>
  <c r="AS55" i="1"/>
  <c r="AG91" i="1"/>
  <c r="AW43" i="1"/>
  <c r="AU43" i="1"/>
  <c r="V101" i="1"/>
  <c r="AW79" i="1"/>
  <c r="AU79" i="1"/>
  <c r="AU41" i="1"/>
  <c r="AM91" i="1"/>
  <c r="AE101" i="1"/>
  <c r="T53" i="1"/>
  <c r="BA79" i="1"/>
  <c r="AA91" i="1"/>
  <c r="AU103" i="1"/>
  <c r="AS104" i="1"/>
  <c r="AS86" i="1"/>
  <c r="AS43" i="1"/>
  <c r="AK50" i="1"/>
  <c r="AI91" i="1"/>
  <c r="AC102" i="1"/>
  <c r="AC47" i="1"/>
  <c r="AA80" i="1"/>
  <c r="V98" i="1"/>
  <c r="T103" i="1"/>
  <c r="T44" i="1"/>
  <c r="AQ91" i="1"/>
  <c r="BA101" i="1"/>
  <c r="AY86" i="1"/>
  <c r="AS103" i="1"/>
  <c r="AQ89" i="1"/>
  <c r="AM77" i="1"/>
  <c r="AI90" i="1"/>
  <c r="AG104" i="1"/>
  <c r="AE93" i="1"/>
  <c r="AC101" i="1"/>
  <c r="T102" i="1"/>
  <c r="AY55" i="1"/>
  <c r="AU101" i="1"/>
  <c r="AU67" i="1"/>
  <c r="AS79" i="1"/>
  <c r="AG67" i="1"/>
  <c r="AO55" i="1"/>
  <c r="AS101" i="1"/>
  <c r="AQ79" i="1"/>
  <c r="AQ43" i="1"/>
  <c r="AO88" i="1"/>
  <c r="AM67" i="1"/>
  <c r="AG101" i="1"/>
  <c r="AE79" i="1"/>
  <c r="AA67" i="1"/>
  <c r="BA67" i="1"/>
  <c r="AQ76" i="1"/>
  <c r="AO86" i="1"/>
  <c r="AM104" i="1"/>
  <c r="AI76" i="1"/>
  <c r="AA104" i="1"/>
  <c r="AY101" i="1"/>
  <c r="AW55" i="1"/>
  <c r="AQ101" i="1"/>
  <c r="AO104" i="1"/>
  <c r="AM55" i="1"/>
  <c r="AI67" i="1"/>
  <c r="AG55" i="1"/>
  <c r="AA50" i="1"/>
  <c r="T93" i="1"/>
  <c r="AC97" i="1"/>
  <c r="V103" i="1"/>
  <c r="V75" i="1"/>
  <c r="AS63" i="1"/>
  <c r="AQ77" i="1"/>
  <c r="AO65" i="1"/>
  <c r="BA90" i="1"/>
  <c r="BA63" i="1"/>
  <c r="AY89" i="1"/>
  <c r="AS87" i="1"/>
  <c r="AS59" i="1"/>
  <c r="AO89" i="1"/>
  <c r="AO63" i="1"/>
  <c r="AK63" i="1"/>
  <c r="AI71" i="1"/>
  <c r="AE103" i="1"/>
  <c r="AM65" i="1"/>
  <c r="AG63" i="1"/>
  <c r="V63" i="1"/>
  <c r="BA87" i="1"/>
  <c r="AW51" i="1"/>
  <c r="AY54" i="1"/>
  <c r="AW75" i="1"/>
  <c r="AS51" i="1"/>
  <c r="AI97" i="1"/>
  <c r="AI59" i="1"/>
  <c r="AE53" i="1"/>
  <c r="AY53" i="1"/>
  <c r="AS78" i="1"/>
  <c r="AO53" i="1"/>
  <c r="AM97" i="1"/>
  <c r="AM54" i="1"/>
  <c r="AK51" i="1"/>
  <c r="AG59" i="1"/>
  <c r="AE97" i="1"/>
  <c r="AE47" i="1"/>
  <c r="AC90" i="1"/>
  <c r="AA103" i="1"/>
  <c r="T92" i="1"/>
  <c r="BA89" i="1"/>
  <c r="AW77" i="1"/>
  <c r="AO87" i="1"/>
  <c r="BA54" i="1"/>
  <c r="BA53" i="1"/>
  <c r="AW71" i="1"/>
  <c r="AU89" i="1"/>
  <c r="AU53" i="1"/>
  <c r="AS75" i="1"/>
  <c r="AS47" i="1"/>
  <c r="AO51" i="1"/>
  <c r="AK87" i="1"/>
  <c r="AI54" i="1"/>
  <c r="AC78" i="1"/>
  <c r="AA59" i="1"/>
  <c r="T91" i="1"/>
  <c r="BA51" i="1"/>
  <c r="AW41" i="1"/>
  <c r="AO78" i="1"/>
  <c r="AM42" i="1"/>
  <c r="AE83" i="1"/>
  <c r="AE42" i="1"/>
  <c r="AA54" i="1"/>
  <c r="V47" i="1"/>
  <c r="BA75" i="1"/>
  <c r="AO75" i="1"/>
  <c r="AG51" i="1"/>
  <c r="V89" i="1"/>
  <c r="V41" i="1"/>
  <c r="AK75" i="1"/>
  <c r="V87" i="1"/>
  <c r="AY41" i="1"/>
  <c r="AW63" i="1"/>
  <c r="AU78" i="1"/>
  <c r="AQ54" i="1"/>
  <c r="AO71" i="1"/>
  <c r="AO41" i="1"/>
  <c r="AM78" i="1"/>
  <c r="AK71" i="1"/>
  <c r="AI83" i="1"/>
  <c r="AG83" i="1"/>
  <c r="AE78" i="1"/>
  <c r="BA83" i="1"/>
  <c r="BA65" i="1"/>
  <c r="BA50" i="1"/>
  <c r="AY65" i="1"/>
  <c r="AY47" i="1"/>
  <c r="AW78" i="1"/>
  <c r="AW42" i="1"/>
  <c r="AU92" i="1"/>
  <c r="AU74" i="1"/>
  <c r="AU52" i="1"/>
  <c r="AS83" i="1"/>
  <c r="AS42" i="1"/>
  <c r="AQ70" i="1"/>
  <c r="AQ52" i="1"/>
  <c r="AO83" i="1"/>
  <c r="AO64" i="1"/>
  <c r="AO44" i="1"/>
  <c r="AM92" i="1"/>
  <c r="AM41" i="1"/>
  <c r="AK92" i="1"/>
  <c r="AK69" i="1"/>
  <c r="AK47" i="1"/>
  <c r="AI74" i="1"/>
  <c r="AI47" i="1"/>
  <c r="AG75" i="1"/>
  <c r="AG54" i="1"/>
  <c r="AE77" i="1"/>
  <c r="AE50" i="1"/>
  <c r="AC66" i="1"/>
  <c r="AA78" i="1"/>
  <c r="AA47" i="1"/>
  <c r="V90" i="1"/>
  <c r="V66" i="1"/>
  <c r="T40" i="1"/>
  <c r="AS62" i="1"/>
  <c r="AS40" i="1"/>
  <c r="AQ50" i="1"/>
  <c r="AM40" i="1"/>
  <c r="AK88" i="1"/>
  <c r="AG74" i="1"/>
  <c r="AE74" i="1"/>
  <c r="AC64" i="1"/>
  <c r="AA74" i="1"/>
  <c r="T76" i="1"/>
  <c r="AW76" i="1"/>
  <c r="AW40" i="1"/>
  <c r="AO62" i="1"/>
  <c r="AM64" i="1"/>
  <c r="AG50" i="1"/>
  <c r="V62" i="1"/>
  <c r="T74" i="1"/>
  <c r="AY64" i="1"/>
  <c r="AW62" i="1"/>
  <c r="AM62" i="1"/>
  <c r="AU50" i="1"/>
  <c r="AY62" i="1"/>
  <c r="BA77" i="1"/>
  <c r="AY59" i="1"/>
  <c r="AY40" i="1"/>
  <c r="AW74" i="1"/>
  <c r="AU86" i="1"/>
  <c r="AU66" i="1"/>
  <c r="AQ66" i="1"/>
  <c r="AO77" i="1"/>
  <c r="AK83" i="1"/>
  <c r="AK40" i="1"/>
  <c r="AI89" i="1"/>
  <c r="AI65" i="1"/>
  <c r="AI42" i="1"/>
  <c r="AG47" i="1"/>
  <c r="AE92" i="1"/>
  <c r="AE68" i="1"/>
  <c r="AE41" i="1"/>
  <c r="AC88" i="1"/>
  <c r="AC54" i="1"/>
  <c r="AA68" i="1"/>
  <c r="V83" i="1"/>
  <c r="V59" i="1"/>
  <c r="T68" i="1"/>
  <c r="BA62" i="1"/>
  <c r="AM88" i="1"/>
  <c r="AK64" i="1"/>
  <c r="BA59" i="1"/>
  <c r="AY94" i="1"/>
  <c r="AS54" i="1"/>
  <c r="AQ83" i="1"/>
  <c r="AQ42" i="1"/>
  <c r="AM59" i="1"/>
  <c r="AI86" i="1"/>
  <c r="AI41" i="1"/>
  <c r="AG90" i="1"/>
  <c r="AG66" i="1"/>
  <c r="AE90" i="1"/>
  <c r="AE40" i="1"/>
  <c r="AC52" i="1"/>
  <c r="T65" i="1"/>
  <c r="AU88" i="1"/>
  <c r="AQ86" i="1"/>
  <c r="AO40" i="1"/>
  <c r="AK86" i="1"/>
  <c r="BA76" i="1"/>
  <c r="AW90" i="1"/>
  <c r="AU64" i="1"/>
  <c r="AS74" i="1"/>
  <c r="AQ64" i="1"/>
  <c r="AM83" i="1"/>
  <c r="AK62" i="1"/>
  <c r="AI64" i="1"/>
  <c r="AC83" i="1"/>
  <c r="BA41" i="1"/>
  <c r="AY76" i="1"/>
  <c r="AW88" i="1"/>
  <c r="AW72" i="1"/>
  <c r="AW52" i="1"/>
  <c r="AU83" i="1"/>
  <c r="AU62" i="1"/>
  <c r="AU42" i="1"/>
  <c r="AS92" i="1"/>
  <c r="AQ80" i="1"/>
  <c r="AQ62" i="1"/>
  <c r="AQ41" i="1"/>
  <c r="AO74" i="1"/>
  <c r="AO54" i="1"/>
  <c r="AM80" i="1"/>
  <c r="AK80" i="1"/>
  <c r="AK59" i="1"/>
  <c r="AI62" i="1"/>
  <c r="AI40" i="1"/>
  <c r="AG87" i="1"/>
  <c r="AG64" i="1"/>
  <c r="AG42" i="1"/>
  <c r="AE88" i="1"/>
  <c r="AE64" i="1"/>
  <c r="AC80" i="1"/>
  <c r="AA62" i="1"/>
  <c r="V78" i="1"/>
  <c r="V51" i="1"/>
  <c r="T62" i="1"/>
  <c r="BA74" i="1"/>
  <c r="BA40" i="1"/>
  <c r="AY74" i="1"/>
  <c r="AS50" i="1"/>
  <c r="AQ40" i="1"/>
  <c r="AI84" i="1"/>
  <c r="AG86" i="1"/>
  <c r="AG40" i="1"/>
  <c r="AE86" i="1"/>
  <c r="AE62" i="1"/>
  <c r="V77" i="1"/>
  <c r="V50" i="1"/>
  <c r="BA64" i="1"/>
  <c r="AW86" i="1"/>
  <c r="AW50" i="1"/>
  <c r="AM52" i="1"/>
  <c r="AK76" i="1"/>
  <c r="AC76" i="1"/>
  <c r="AM74" i="1"/>
  <c r="AA86" i="1"/>
  <c r="AY50" i="1"/>
  <c r="AO50" i="1"/>
  <c r="AM50" i="1"/>
  <c r="T50" i="1"/>
  <c r="BA86" i="1"/>
  <c r="BA52" i="1"/>
  <c r="AY88" i="1"/>
  <c r="AW65" i="1"/>
  <c r="AU77" i="1"/>
  <c r="AU54" i="1"/>
  <c r="AS66" i="1"/>
  <c r="AQ74" i="1"/>
  <c r="AO66" i="1"/>
  <c r="AM71" i="1"/>
  <c r="AK74" i="1"/>
  <c r="AI78" i="1"/>
  <c r="AI52" i="1"/>
  <c r="AE56" i="1"/>
  <c r="AC71" i="1"/>
  <c r="AC40" i="1"/>
  <c r="AA83" i="1"/>
  <c r="AA52" i="1"/>
  <c r="V71" i="1"/>
  <c r="V42" i="1"/>
  <c r="T86" i="1"/>
  <c r="AM48" i="1"/>
  <c r="AE96" i="1"/>
  <c r="BA96" i="1"/>
  <c r="BA66" i="1"/>
  <c r="AY91" i="1"/>
  <c r="AY77" i="1"/>
  <c r="AY60" i="1"/>
  <c r="AY43" i="1"/>
  <c r="AW83" i="1"/>
  <c r="AW67" i="1"/>
  <c r="AW53" i="1"/>
  <c r="AU90" i="1"/>
  <c r="AU73" i="1"/>
  <c r="AU55" i="1"/>
  <c r="AU40" i="1"/>
  <c r="AS76" i="1"/>
  <c r="AS61" i="1"/>
  <c r="AQ96" i="1"/>
  <c r="AQ78" i="1"/>
  <c r="AQ65" i="1"/>
  <c r="AQ47" i="1"/>
  <c r="AO85" i="1"/>
  <c r="AO67" i="1"/>
  <c r="AO52" i="1"/>
  <c r="AM103" i="1"/>
  <c r="AM86" i="1"/>
  <c r="AM66" i="1"/>
  <c r="AM47" i="1"/>
  <c r="AK98" i="1"/>
  <c r="AI96" i="1"/>
  <c r="AI79" i="1"/>
  <c r="AI61" i="1"/>
  <c r="AI43" i="1"/>
  <c r="AG97" i="1"/>
  <c r="AG79" i="1"/>
  <c r="AG62" i="1"/>
  <c r="AG43" i="1"/>
  <c r="AE76" i="1"/>
  <c r="AE54" i="1"/>
  <c r="AC103" i="1"/>
  <c r="AC86" i="1"/>
  <c r="AA90" i="1"/>
  <c r="AA66" i="1"/>
  <c r="AA44" i="1"/>
  <c r="V96" i="1"/>
  <c r="V54" i="1"/>
  <c r="T85" i="1"/>
  <c r="T61" i="1"/>
  <c r="AW96" i="1"/>
  <c r="AU72" i="1"/>
  <c r="AS60" i="1"/>
  <c r="AG96" i="1"/>
  <c r="AG78" i="1"/>
  <c r="AC85" i="1"/>
  <c r="AC61" i="1"/>
  <c r="AA88" i="1"/>
  <c r="AA64" i="1"/>
  <c r="AA43" i="1"/>
  <c r="V74" i="1"/>
  <c r="V53" i="1"/>
  <c r="AW84" i="1"/>
  <c r="AK96" i="1"/>
  <c r="AK60" i="1"/>
  <c r="AO96" i="1"/>
  <c r="AE48" i="1"/>
  <c r="AS72" i="1"/>
  <c r="AQ60" i="1"/>
  <c r="AI72" i="1"/>
  <c r="AA60" i="1"/>
  <c r="T96" i="1"/>
  <c r="BA48" i="1"/>
  <c r="AW48" i="1"/>
  <c r="AQ72" i="1"/>
  <c r="BA88" i="1"/>
  <c r="BA60" i="1"/>
  <c r="AY84" i="1"/>
  <c r="AY67" i="1"/>
  <c r="AY52" i="1"/>
  <c r="AW89" i="1"/>
  <c r="AW61" i="1"/>
  <c r="AW47" i="1"/>
  <c r="AU65" i="1"/>
  <c r="AU48" i="1"/>
  <c r="AS85" i="1"/>
  <c r="AS52" i="1"/>
  <c r="AQ88" i="1"/>
  <c r="AQ71" i="1"/>
  <c r="AO91" i="1"/>
  <c r="AO76" i="1"/>
  <c r="AO61" i="1"/>
  <c r="AO43" i="1"/>
  <c r="AM96" i="1"/>
  <c r="AM76" i="1"/>
  <c r="AM56" i="1"/>
  <c r="AK90" i="1"/>
  <c r="AK72" i="1"/>
  <c r="AK54" i="1"/>
  <c r="AI103" i="1"/>
  <c r="AI88" i="1"/>
  <c r="AI49" i="1"/>
  <c r="AG88" i="1"/>
  <c r="AG52" i="1"/>
  <c r="AE102" i="1"/>
  <c r="AE85" i="1"/>
  <c r="AE66" i="1"/>
  <c r="AE43" i="1"/>
  <c r="AA77" i="1"/>
  <c r="V65" i="1"/>
  <c r="T94" i="1"/>
  <c r="T73" i="1"/>
  <c r="AY96" i="1"/>
  <c r="AW60" i="1"/>
  <c r="AS84" i="1"/>
  <c r="AI48" i="1"/>
  <c r="AC96" i="1"/>
  <c r="BA72" i="1"/>
  <c r="AU96" i="1"/>
  <c r="AM72" i="1"/>
  <c r="AA96" i="1"/>
  <c r="BA84" i="1"/>
  <c r="AS48" i="1"/>
  <c r="AK84" i="1"/>
  <c r="AK48" i="1"/>
  <c r="AA48" i="1"/>
  <c r="T88" i="1"/>
  <c r="T64" i="1"/>
  <c r="AC94" i="1"/>
  <c r="AW94" i="1"/>
  <c r="AW82" i="1"/>
  <c r="AW70" i="1"/>
  <c r="AW58" i="1"/>
  <c r="AW46" i="1"/>
  <c r="AU60" i="1"/>
  <c r="AS89" i="1"/>
  <c r="AS77" i="1"/>
  <c r="AS65" i="1"/>
  <c r="AS53" i="1"/>
  <c r="AS41" i="1"/>
  <c r="AQ94" i="1"/>
  <c r="AQ81" i="1"/>
  <c r="AQ55" i="1"/>
  <c r="AO84" i="1"/>
  <c r="AO72" i="1"/>
  <c r="AO60" i="1"/>
  <c r="AO48" i="1"/>
  <c r="AM89" i="1"/>
  <c r="AM49" i="1"/>
  <c r="AK91" i="1"/>
  <c r="AK79" i="1"/>
  <c r="AK67" i="1"/>
  <c r="AK55" i="1"/>
  <c r="AK43" i="1"/>
  <c r="AI70" i="1"/>
  <c r="AI57" i="1"/>
  <c r="AE91" i="1"/>
  <c r="AE65" i="1"/>
  <c r="AE52" i="1"/>
  <c r="AC93" i="1"/>
  <c r="AC81" i="1"/>
  <c r="AC69" i="1"/>
  <c r="AC57" i="1"/>
  <c r="AC45" i="1"/>
  <c r="AA85" i="1"/>
  <c r="AA72" i="1"/>
  <c r="AA46" i="1"/>
  <c r="V76" i="1"/>
  <c r="V52" i="1"/>
  <c r="V40" i="1"/>
  <c r="T77" i="1"/>
  <c r="T48" i="1"/>
  <c r="AC82" i="1"/>
  <c r="AW93" i="1"/>
  <c r="AW69" i="1"/>
  <c r="AW45" i="1"/>
  <c r="AU46" i="1"/>
  <c r="AI82" i="1"/>
  <c r="AI69" i="1"/>
  <c r="AA84" i="1"/>
  <c r="AA58" i="1"/>
  <c r="AA45" i="1"/>
  <c r="AC58" i="1"/>
  <c r="AW81" i="1"/>
  <c r="AW57" i="1"/>
  <c r="AQ93" i="1"/>
  <c r="AU84" i="1"/>
  <c r="AU58" i="1"/>
  <c r="AU45" i="1"/>
  <c r="AQ53" i="1"/>
  <c r="AO94" i="1"/>
  <c r="AO82" i="1"/>
  <c r="AO70" i="1"/>
  <c r="AO58" i="1"/>
  <c r="AO46" i="1"/>
  <c r="AM73" i="1"/>
  <c r="AM60" i="1"/>
  <c r="AK89" i="1"/>
  <c r="AK77" i="1"/>
  <c r="AK65" i="1"/>
  <c r="AK53" i="1"/>
  <c r="AK41" i="1"/>
  <c r="AI94" i="1"/>
  <c r="AI81" i="1"/>
  <c r="AI55" i="1"/>
  <c r="AG84" i="1"/>
  <c r="AG72" i="1"/>
  <c r="AG60" i="1"/>
  <c r="AG48" i="1"/>
  <c r="AE89" i="1"/>
  <c r="AE49" i="1"/>
  <c r="AC91" i="1"/>
  <c r="AC79" i="1"/>
  <c r="AC67" i="1"/>
  <c r="AC55" i="1"/>
  <c r="AC43" i="1"/>
  <c r="AA70" i="1"/>
  <c r="AA57" i="1"/>
  <c r="T89" i="1"/>
  <c r="T60" i="1"/>
  <c r="T46" i="1"/>
  <c r="AU57" i="1"/>
  <c r="AO93" i="1"/>
  <c r="AO81" i="1"/>
  <c r="AO69" i="1"/>
  <c r="AO45" i="1"/>
  <c r="AM46" i="1"/>
  <c r="AI93" i="1"/>
  <c r="AA82" i="1"/>
  <c r="AA69" i="1"/>
  <c r="T45" i="1"/>
  <c r="AU70" i="1"/>
  <c r="AO57" i="1"/>
  <c r="AU82" i="1"/>
  <c r="AU69" i="1"/>
  <c r="AM84" i="1"/>
  <c r="AM58" i="1"/>
  <c r="AM45" i="1"/>
  <c r="AI53" i="1"/>
  <c r="AG94" i="1"/>
  <c r="AG82" i="1"/>
  <c r="AG70" i="1"/>
  <c r="AG58" i="1"/>
  <c r="AG46" i="1"/>
  <c r="AE60" i="1"/>
  <c r="AC89" i="1"/>
  <c r="AC77" i="1"/>
  <c r="AC65" i="1"/>
  <c r="AC53" i="1"/>
  <c r="AC41" i="1"/>
  <c r="AA94" i="1"/>
  <c r="AA81" i="1"/>
  <c r="AA55" i="1"/>
  <c r="V84" i="1"/>
  <c r="V72" i="1"/>
  <c r="V60" i="1"/>
  <c r="V48" i="1"/>
  <c r="T72" i="1"/>
  <c r="T58" i="1"/>
  <c r="AQ82" i="1"/>
  <c r="AI58" i="1"/>
  <c r="BA94" i="1"/>
  <c r="BA70" i="1"/>
  <c r="BA46" i="1"/>
  <c r="AU94" i="1"/>
  <c r="AM70" i="1"/>
  <c r="AM57" i="1"/>
  <c r="AG93" i="1"/>
  <c r="AG81" i="1"/>
  <c r="AG69" i="1"/>
  <c r="AG57" i="1"/>
  <c r="AG45" i="1"/>
  <c r="AE72" i="1"/>
  <c r="AE46" i="1"/>
  <c r="AA93" i="1"/>
  <c r="AA41" i="1"/>
  <c r="T57" i="1"/>
  <c r="T43" i="1"/>
  <c r="AC70" i="1"/>
  <c r="BA82" i="1"/>
  <c r="BA58" i="1"/>
  <c r="AU81" i="1"/>
  <c r="BA93" i="1"/>
  <c r="BA81" i="1"/>
  <c r="BA69" i="1"/>
  <c r="BA57" i="1"/>
  <c r="BA45" i="1"/>
  <c r="AY72" i="1"/>
  <c r="AY46" i="1"/>
  <c r="AU93" i="1"/>
  <c r="AQ48" i="1"/>
  <c r="AM82" i="1"/>
  <c r="AM69" i="1"/>
  <c r="AM43" i="1"/>
  <c r="AK73" i="1"/>
  <c r="AK49" i="1"/>
  <c r="AI77" i="1"/>
  <c r="AE84" i="1"/>
  <c r="AE58" i="1"/>
  <c r="AE45" i="1"/>
  <c r="AC87" i="1"/>
  <c r="AC75" i="1"/>
  <c r="AC63" i="1"/>
  <c r="AC51" i="1"/>
  <c r="AA79" i="1"/>
  <c r="AA53" i="1"/>
  <c r="V94" i="1"/>
  <c r="V82" i="1"/>
  <c r="V70" i="1"/>
  <c r="V58" i="1"/>
  <c r="V46" i="1"/>
  <c r="T84" i="1"/>
  <c r="T70" i="1"/>
  <c r="T41" i="1"/>
  <c r="AY58" i="1"/>
  <c r="AY45" i="1"/>
  <c r="AS94" i="1"/>
  <c r="AS82" i="1"/>
  <c r="AS70" i="1"/>
  <c r="AS58" i="1"/>
  <c r="AS46" i="1"/>
  <c r="AM94" i="1"/>
  <c r="AM81" i="1"/>
  <c r="AE70" i="1"/>
  <c r="AE57" i="1"/>
  <c r="AA65" i="1"/>
  <c r="V93" i="1"/>
  <c r="V81" i="1"/>
  <c r="V69" i="1"/>
  <c r="V57" i="1"/>
  <c r="V45" i="1"/>
  <c r="T69" i="1"/>
  <c r="T55" i="1"/>
  <c r="AY57" i="1"/>
  <c r="AS81" i="1"/>
  <c r="AQ46" i="1"/>
  <c r="AM93" i="1"/>
  <c r="AE82" i="1"/>
  <c r="T82" i="1"/>
  <c r="AC46" i="1"/>
  <c r="AY70" i="1"/>
  <c r="AS69" i="1"/>
  <c r="AS45" i="1"/>
  <c r="AE69" i="1"/>
  <c r="AY82" i="1"/>
  <c r="AQ84" i="1"/>
  <c r="AQ58" i="1"/>
  <c r="AM79" i="1"/>
  <c r="AM53" i="1"/>
  <c r="AK94" i="1"/>
  <c r="AI60" i="1"/>
  <c r="AG89" i="1"/>
  <c r="AE81" i="1"/>
  <c r="AE55" i="1"/>
  <c r="V67" i="1"/>
  <c r="AY99" i="1"/>
  <c r="AY87" i="1"/>
  <c r="AY75" i="1"/>
  <c r="AY63" i="1"/>
  <c r="AY51" i="1"/>
  <c r="AU99" i="1"/>
  <c r="AU87" i="1"/>
  <c r="AU75" i="1"/>
  <c r="AU63" i="1"/>
  <c r="AU51" i="1"/>
  <c r="AQ99" i="1"/>
  <c r="AQ87" i="1"/>
  <c r="AQ75" i="1"/>
  <c r="AQ63" i="1"/>
  <c r="AQ51" i="1"/>
  <c r="AM99" i="1"/>
  <c r="AM87" i="1"/>
  <c r="AM75" i="1"/>
  <c r="AM63" i="1"/>
  <c r="AM51" i="1"/>
  <c r="AI99" i="1"/>
  <c r="AI87" i="1"/>
  <c r="AI75" i="1"/>
  <c r="AI63" i="1"/>
  <c r="AI51" i="1"/>
  <c r="AE99" i="1"/>
  <c r="AE87" i="1"/>
  <c r="AE75" i="1"/>
  <c r="AE63" i="1"/>
  <c r="AE51" i="1"/>
  <c r="AA99" i="1"/>
  <c r="AA87" i="1"/>
  <c r="AA75" i="1"/>
  <c r="AA63" i="1"/>
  <c r="AA51" i="1"/>
  <c r="I39" i="4" l="1"/>
  <c r="I2" i="4"/>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O2" i="4"/>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N2" i="4"/>
  <c r="N3" i="4"/>
  <c r="N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H106" i="4"/>
  <c r="O2" i="3"/>
  <c r="O3" i="3"/>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N2" i="3"/>
  <c r="N3"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H106" i="3"/>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O3" i="2"/>
  <c r="O2"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N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H106" i="2"/>
  <c r="AB143" i="4" l="1"/>
  <c r="O2"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N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H106" i="1"/>
  <c r="AJ106" i="4" l="1"/>
  <c r="AH106" i="4"/>
  <c r="AF106" i="4"/>
  <c r="AD106" i="4"/>
  <c r="AB106" i="4"/>
  <c r="Z106" i="4"/>
  <c r="M106" i="4"/>
  <c r="L106" i="4"/>
  <c r="AR106" i="3"/>
  <c r="AP106" i="3"/>
  <c r="AN106" i="3"/>
  <c r="AJ106" i="3"/>
  <c r="AH106" i="3"/>
  <c r="AF106" i="3"/>
  <c r="AD106" i="3"/>
  <c r="AB106" i="3"/>
  <c r="Z106" i="3"/>
  <c r="M106" i="3"/>
  <c r="L106" i="3"/>
  <c r="F30" i="4"/>
  <c r="F23" i="4"/>
  <c r="F24" i="2"/>
  <c r="F39" i="2"/>
  <c r="F4" i="3"/>
  <c r="F24" i="4"/>
  <c r="F9" i="3"/>
  <c r="F23" i="3"/>
  <c r="F27" i="3"/>
  <c r="F5" i="4"/>
  <c r="F19" i="4"/>
  <c r="F12" i="3"/>
  <c r="F10" i="3"/>
  <c r="F17" i="3"/>
  <c r="F18" i="2"/>
  <c r="F21" i="2"/>
  <c r="F3" i="3"/>
  <c r="F13" i="3"/>
  <c r="F35" i="3"/>
  <c r="F33" i="3"/>
  <c r="F32" i="2"/>
  <c r="F26" i="4"/>
  <c r="F39" i="4"/>
  <c r="F19" i="3"/>
  <c r="F28" i="2"/>
  <c r="F28" i="4"/>
  <c r="F15" i="4"/>
  <c r="F7" i="3"/>
  <c r="F10" i="2"/>
  <c r="F16" i="3"/>
  <c r="F19" i="2"/>
  <c r="F39" i="3"/>
  <c r="F5" i="2"/>
  <c r="F6" i="2"/>
  <c r="F14" i="3"/>
  <c r="F27" i="4"/>
  <c r="F34" i="2"/>
  <c r="F3" i="1"/>
  <c r="F8" i="4"/>
  <c r="F7" i="2"/>
  <c r="F25" i="2"/>
  <c r="F25" i="4"/>
  <c r="F36" i="2"/>
  <c r="F16" i="4"/>
  <c r="F17" i="2"/>
  <c r="F15" i="3"/>
  <c r="F20" i="3"/>
  <c r="F22" i="2"/>
  <c r="F11" i="2"/>
  <c r="F17" i="4"/>
  <c r="F37" i="3"/>
  <c r="F6" i="4"/>
  <c r="F2" i="1"/>
  <c r="F35" i="4"/>
  <c r="F27" i="2"/>
  <c r="F3" i="2"/>
  <c r="F10" i="4"/>
  <c r="F11" i="3"/>
  <c r="F2" i="4"/>
  <c r="F33" i="2"/>
  <c r="F2" i="3"/>
  <c r="F33" i="4"/>
  <c r="F16" i="2"/>
  <c r="F13" i="4"/>
  <c r="F38" i="4"/>
  <c r="F24" i="3"/>
  <c r="F8" i="3"/>
  <c r="F29" i="2"/>
  <c r="F34" i="3"/>
  <c r="F22" i="4"/>
  <c r="F3" i="4"/>
  <c r="F31" i="2"/>
  <c r="F31" i="4"/>
  <c r="F37" i="2"/>
  <c r="F36" i="3"/>
  <c r="F30" i="2"/>
  <c r="F38" i="3"/>
  <c r="F14" i="4"/>
  <c r="F20" i="2"/>
  <c r="F26" i="3"/>
  <c r="F31" i="3"/>
  <c r="F20" i="4"/>
  <c r="F11" i="4"/>
  <c r="F32" i="3"/>
  <c r="F13" i="2"/>
  <c r="F28" i="3"/>
  <c r="F14" i="2"/>
  <c r="F18" i="3"/>
  <c r="F12" i="4"/>
  <c r="F38" i="2"/>
  <c r="F34" i="4"/>
  <c r="F26" i="2"/>
  <c r="F4" i="4"/>
  <c r="F36" i="4"/>
  <c r="F25" i="3"/>
  <c r="F21" i="4"/>
  <c r="F12" i="2"/>
  <c r="F6" i="3"/>
  <c r="F29" i="3"/>
  <c r="F4" i="2"/>
  <c r="F9" i="2"/>
  <c r="F15" i="2"/>
  <c r="F5" i="3"/>
  <c r="F37" i="4"/>
  <c r="F35" i="2"/>
  <c r="F23" i="2"/>
  <c r="F21" i="3"/>
  <c r="F22" i="3"/>
  <c r="F30" i="3"/>
  <c r="F29" i="4"/>
  <c r="F8" i="2"/>
  <c r="F2" i="2"/>
  <c r="F32" i="4"/>
  <c r="F9" i="4"/>
  <c r="F18" i="4"/>
  <c r="F106" i="3" l="1"/>
  <c r="F106" i="2"/>
  <c r="M107" i="3"/>
  <c r="AP107" i="4"/>
  <c r="AO107" i="4"/>
  <c r="AN107" i="4"/>
  <c r="AV107" i="3"/>
  <c r="AW107" i="3"/>
  <c r="AX107" i="3"/>
  <c r="M107" i="4"/>
  <c r="AR106" i="2"/>
  <c r="AP106" i="2"/>
  <c r="AN106" i="2"/>
  <c r="AL106" i="2"/>
  <c r="AJ106" i="2"/>
  <c r="AH106" i="2"/>
  <c r="AF106" i="2"/>
  <c r="AD106" i="2"/>
  <c r="AB106" i="2"/>
  <c r="Z106" i="2"/>
  <c r="M106" i="2"/>
  <c r="L106" i="2"/>
  <c r="F7" i="4"/>
  <c r="M107" i="2" l="1"/>
  <c r="F106" i="4"/>
  <c r="AW107" i="2"/>
  <c r="AX107" i="2"/>
  <c r="AV107" i="2"/>
  <c r="S39" i="1"/>
  <c r="AS39" i="1" s="1"/>
  <c r="S38" i="1"/>
  <c r="AI38" i="1" s="1"/>
  <c r="S37" i="1"/>
  <c r="AW37" i="1" s="1"/>
  <c r="S36" i="1"/>
  <c r="T36" i="1" s="1"/>
  <c r="S35" i="1"/>
  <c r="AI35" i="1" s="1"/>
  <c r="S34" i="1"/>
  <c r="AY34" i="1" s="1"/>
  <c r="S33" i="1"/>
  <c r="AG33" i="1" s="1"/>
  <c r="S32" i="1"/>
  <c r="AU32" i="1" s="1"/>
  <c r="S31" i="1"/>
  <c r="AS31" i="1" s="1"/>
  <c r="S30" i="1"/>
  <c r="AI30" i="1" s="1"/>
  <c r="S29" i="1"/>
  <c r="V29" i="1" s="1"/>
  <c r="S28" i="1"/>
  <c r="AM28" i="1" s="1"/>
  <c r="S27" i="1"/>
  <c r="AS27" i="1" s="1"/>
  <c r="S26" i="1"/>
  <c r="AI26" i="1" s="1"/>
  <c r="S25" i="1"/>
  <c r="AW25" i="1" s="1"/>
  <c r="S24" i="1"/>
  <c r="AU24" i="1" s="1"/>
  <c r="S23" i="1"/>
  <c r="AK23" i="1" s="1"/>
  <c r="S22" i="1"/>
  <c r="AA22" i="1" s="1"/>
  <c r="S21" i="1"/>
  <c r="AG21" i="1" s="1"/>
  <c r="S20" i="1"/>
  <c r="AU20" i="1" s="1"/>
  <c r="S19" i="1"/>
  <c r="AK19" i="1" s="1"/>
  <c r="S18" i="1"/>
  <c r="AY18" i="1" s="1"/>
  <c r="S17" i="1"/>
  <c r="AW17" i="1" s="1"/>
  <c r="S16" i="1"/>
  <c r="AM16" i="1" s="1"/>
  <c r="S15" i="1"/>
  <c r="AS15" i="1" s="1"/>
  <c r="S14" i="1"/>
  <c r="AI14" i="1" s="1"/>
  <c r="S13" i="1"/>
  <c r="AW13" i="1" s="1"/>
  <c r="S12" i="1"/>
  <c r="T12" i="1" s="1"/>
  <c r="L106" i="1"/>
  <c r="F39" i="1"/>
  <c r="F19" i="1"/>
  <c r="F27" i="1"/>
  <c r="F38" i="1"/>
  <c r="F33" i="1"/>
  <c r="F17" i="1"/>
  <c r="F18" i="1"/>
  <c r="F10" i="1"/>
  <c r="F37" i="1"/>
  <c r="F21" i="1"/>
  <c r="F14" i="1"/>
  <c r="F6" i="1"/>
  <c r="F30" i="1"/>
  <c r="F9" i="1"/>
  <c r="F15" i="1"/>
  <c r="F34" i="1"/>
  <c r="F28" i="1"/>
  <c r="F8" i="1"/>
  <c r="F26" i="1"/>
  <c r="F11" i="1"/>
  <c r="F7" i="1"/>
  <c r="F13" i="1"/>
  <c r="F20" i="1"/>
  <c r="F16" i="1"/>
  <c r="F25" i="1"/>
  <c r="F35" i="1"/>
  <c r="F5" i="1"/>
  <c r="F22" i="1"/>
  <c r="F31" i="1"/>
  <c r="F29" i="1"/>
  <c r="F32" i="1"/>
  <c r="F12" i="1"/>
  <c r="F36" i="1"/>
  <c r="F24" i="1"/>
  <c r="F4" i="1"/>
  <c r="F23" i="1"/>
  <c r="F106" i="1" l="1"/>
  <c r="BA14" i="1"/>
  <c r="AC39" i="1"/>
  <c r="AO39" i="1"/>
  <c r="AY20" i="1"/>
  <c r="AY39" i="1"/>
  <c r="V14" i="1"/>
  <c r="AE13" i="1"/>
  <c r="AC14" i="1"/>
  <c r="AM19" i="1"/>
  <c r="AW21" i="1"/>
  <c r="AG13" i="1"/>
  <c r="AE14" i="1"/>
  <c r="AQ13" i="1"/>
  <c r="AO14" i="1"/>
  <c r="AC20" i="1"/>
  <c r="AC13" i="1"/>
  <c r="AM13" i="1"/>
  <c r="AM14" i="1"/>
  <c r="BA13" i="1"/>
  <c r="AW14" i="1"/>
  <c r="AQ20" i="1"/>
  <c r="AA13" i="1"/>
  <c r="AA14" i="1"/>
  <c r="AK14" i="1"/>
  <c r="AO13" i="1"/>
  <c r="AY13" i="1"/>
  <c r="AQ14" i="1"/>
  <c r="AE20" i="1"/>
  <c r="AY14" i="1"/>
  <c r="AW20" i="1"/>
  <c r="V39" i="1"/>
  <c r="T17" i="1"/>
  <c r="AQ23" i="1"/>
  <c r="AA26" i="1"/>
  <c r="V32" i="1"/>
  <c r="AG37" i="1"/>
  <c r="V15" i="1"/>
  <c r="AQ17" i="1"/>
  <c r="AE26" i="1"/>
  <c r="AQ29" i="1"/>
  <c r="AA32" i="1"/>
  <c r="AG34" i="1"/>
  <c r="AO37" i="1"/>
  <c r="AA15" i="1"/>
  <c r="V20" i="1"/>
  <c r="AC32" i="1"/>
  <c r="AU15" i="1"/>
  <c r="AA20" i="1"/>
  <c r="AE32" i="1"/>
  <c r="AY15" i="1"/>
  <c r="AE23" i="1"/>
  <c r="AQ32" i="1"/>
  <c r="AU27" i="1"/>
  <c r="AM38" i="1"/>
  <c r="AM20" i="1"/>
  <c r="AG25" i="1"/>
  <c r="BA15" i="1"/>
  <c r="AC18" i="1"/>
  <c r="AQ30" i="1"/>
  <c r="AY32" i="1"/>
  <c r="AQ35" i="1"/>
  <c r="AE38" i="1"/>
  <c r="AG20" i="1"/>
  <c r="AK20" i="1"/>
  <c r="AC25" i="1"/>
  <c r="AC19" i="1"/>
  <c r="AO20" i="1"/>
  <c r="AS28" i="1"/>
  <c r="AQ33" i="1"/>
  <c r="T15" i="1"/>
  <c r="V21" i="1"/>
  <c r="AY27" i="1"/>
  <c r="AC31" i="1"/>
  <c r="AW33" i="1"/>
  <c r="AO12" i="1"/>
  <c r="AC15" i="1"/>
  <c r="AO19" i="1"/>
  <c r="AA21" i="1"/>
  <c r="AM25" i="1"/>
  <c r="AK26" i="1"/>
  <c r="AA27" i="1"/>
  <c r="BA27" i="1"/>
  <c r="AE31" i="1"/>
  <c r="T33" i="1"/>
  <c r="AY33" i="1"/>
  <c r="AQ37" i="1"/>
  <c r="AO38" i="1"/>
  <c r="AE39" i="1"/>
  <c r="AQ12" i="1"/>
  <c r="AE15" i="1"/>
  <c r="AG18" i="1"/>
  <c r="AQ19" i="1"/>
  <c r="AC21" i="1"/>
  <c r="AE24" i="1"/>
  <c r="AO25" i="1"/>
  <c r="AM26" i="1"/>
  <c r="AC27" i="1"/>
  <c r="AC30" i="1"/>
  <c r="AM31" i="1"/>
  <c r="AG32" i="1"/>
  <c r="V33" i="1"/>
  <c r="BA33" i="1"/>
  <c r="AC36" i="1"/>
  <c r="AY37" i="1"/>
  <c r="AQ38" i="1"/>
  <c r="AG39" i="1"/>
  <c r="AC24" i="1"/>
  <c r="AS12" i="1"/>
  <c r="AI15" i="1"/>
  <c r="AO18" i="1"/>
  <c r="AY19" i="1"/>
  <c r="AE21" i="1"/>
  <c r="AO24" i="1"/>
  <c r="AQ25" i="1"/>
  <c r="AO26" i="1"/>
  <c r="AE27" i="1"/>
  <c r="AE30" i="1"/>
  <c r="AO31" i="1"/>
  <c r="AK32" i="1"/>
  <c r="AA33" i="1"/>
  <c r="BA36" i="1"/>
  <c r="BA37" i="1"/>
  <c r="AW38" i="1"/>
  <c r="AI39" i="1"/>
  <c r="BA21" i="1"/>
  <c r="AE18" i="1"/>
  <c r="BA12" i="1"/>
  <c r="AK15" i="1"/>
  <c r="AQ18" i="1"/>
  <c r="BA19" i="1"/>
  <c r="AI21" i="1"/>
  <c r="AG22" i="1"/>
  <c r="AQ24" i="1"/>
  <c r="AY25" i="1"/>
  <c r="AQ26" i="1"/>
  <c r="AG27" i="1"/>
  <c r="AG30" i="1"/>
  <c r="AQ31" i="1"/>
  <c r="AM32" i="1"/>
  <c r="AC33" i="1"/>
  <c r="AY38" i="1"/>
  <c r="AK39" i="1"/>
  <c r="V27" i="1"/>
  <c r="AM15" i="1"/>
  <c r="BA18" i="1"/>
  <c r="AK21" i="1"/>
  <c r="BA24" i="1"/>
  <c r="BA25" i="1"/>
  <c r="AW26" i="1"/>
  <c r="AI27" i="1"/>
  <c r="AO30" i="1"/>
  <c r="AY31" i="1"/>
  <c r="AO32" i="1"/>
  <c r="AE33" i="1"/>
  <c r="BA38" i="1"/>
  <c r="AM39" i="1"/>
  <c r="AE12" i="1"/>
  <c r="AO15" i="1"/>
  <c r="AM21" i="1"/>
  <c r="AY26" i="1"/>
  <c r="AK27" i="1"/>
  <c r="BA31" i="1"/>
  <c r="AI33" i="1"/>
  <c r="AQ15" i="1"/>
  <c r="AE17" i="1"/>
  <c r="BA20" i="1"/>
  <c r="AO21" i="1"/>
  <c r="BA26" i="1"/>
  <c r="AM27" i="1"/>
  <c r="BA30" i="1"/>
  <c r="AW32" i="1"/>
  <c r="AK33" i="1"/>
  <c r="AA37" i="1"/>
  <c r="V38" i="1"/>
  <c r="AQ39" i="1"/>
  <c r="AQ21" i="1"/>
  <c r="AO27" i="1"/>
  <c r="AM33" i="1"/>
  <c r="AC37" i="1"/>
  <c r="AA38" i="1"/>
  <c r="AU39" i="1"/>
  <c r="AW15" i="1"/>
  <c r="AA19" i="1"/>
  <c r="AU21" i="1"/>
  <c r="AA25" i="1"/>
  <c r="V26" i="1"/>
  <c r="AQ27" i="1"/>
  <c r="AE29" i="1"/>
  <c r="BA32" i="1"/>
  <c r="AO33" i="1"/>
  <c r="AE37" i="1"/>
  <c r="AC38" i="1"/>
  <c r="T39" i="1"/>
  <c r="AW39" i="1"/>
  <c r="AC12" i="1"/>
  <c r="AE19" i="1"/>
  <c r="T21" i="1"/>
  <c r="AY21" i="1"/>
  <c r="AE25" i="1"/>
  <c r="AC26" i="1"/>
  <c r="T27" i="1"/>
  <c r="AW27" i="1"/>
  <c r="AA31" i="1"/>
  <c r="AU33" i="1"/>
  <c r="AM37" i="1"/>
  <c r="AK38" i="1"/>
  <c r="AA39" i="1"/>
  <c r="BA39" i="1"/>
  <c r="AU12" i="1"/>
  <c r="V17" i="1"/>
  <c r="AI18" i="1"/>
  <c r="AS19" i="1"/>
  <c r="AY22" i="1"/>
  <c r="T24" i="1"/>
  <c r="AW29" i="1"/>
  <c r="AK35" i="1"/>
  <c r="AU36" i="1"/>
  <c r="V12" i="1"/>
  <c r="AW12" i="1"/>
  <c r="AI13" i="1"/>
  <c r="AS14" i="1"/>
  <c r="AO16" i="1"/>
  <c r="AA17" i="1"/>
  <c r="AY17" i="1"/>
  <c r="AK18" i="1"/>
  <c r="T19" i="1"/>
  <c r="AU19" i="1"/>
  <c r="AC22" i="1"/>
  <c r="BA22" i="1"/>
  <c r="AM23" i="1"/>
  <c r="V24" i="1"/>
  <c r="AW24" i="1"/>
  <c r="AI25" i="1"/>
  <c r="AS26" i="1"/>
  <c r="AO28" i="1"/>
  <c r="AA29" i="1"/>
  <c r="AY29" i="1"/>
  <c r="AK30" i="1"/>
  <c r="T31" i="1"/>
  <c r="AU31" i="1"/>
  <c r="AC34" i="1"/>
  <c r="BA34" i="1"/>
  <c r="AM35" i="1"/>
  <c r="V36" i="1"/>
  <c r="AW36" i="1"/>
  <c r="AI37" i="1"/>
  <c r="AS38" i="1"/>
  <c r="AA12" i="1"/>
  <c r="AY12" i="1"/>
  <c r="AK13" i="1"/>
  <c r="T14" i="1"/>
  <c r="AU14" i="1"/>
  <c r="AG15" i="1"/>
  <c r="AQ16" i="1"/>
  <c r="AC17" i="1"/>
  <c r="BA17" i="1"/>
  <c r="AM18" i="1"/>
  <c r="V19" i="1"/>
  <c r="AW19" i="1"/>
  <c r="AI20" i="1"/>
  <c r="AS21" i="1"/>
  <c r="AE22" i="1"/>
  <c r="AO23" i="1"/>
  <c r="AA24" i="1"/>
  <c r="AY24" i="1"/>
  <c r="AK25" i="1"/>
  <c r="T26" i="1"/>
  <c r="AU26" i="1"/>
  <c r="AQ28" i="1"/>
  <c r="AC29" i="1"/>
  <c r="BA29" i="1"/>
  <c r="AM30" i="1"/>
  <c r="V31" i="1"/>
  <c r="AW31" i="1"/>
  <c r="AI32" i="1"/>
  <c r="AS33" i="1"/>
  <c r="AE34" i="1"/>
  <c r="AO35" i="1"/>
  <c r="AA36" i="1"/>
  <c r="AY36" i="1"/>
  <c r="AK37" i="1"/>
  <c r="T38" i="1"/>
  <c r="AU38" i="1"/>
  <c r="AS16" i="1"/>
  <c r="AU16" i="1"/>
  <c r="AG17" i="1"/>
  <c r="AI22" i="1"/>
  <c r="AS23" i="1"/>
  <c r="T28" i="1"/>
  <c r="AU28" i="1"/>
  <c r="AG29" i="1"/>
  <c r="AI34" i="1"/>
  <c r="AS35" i="1"/>
  <c r="AE36" i="1"/>
  <c r="T16" i="1"/>
  <c r="AI17" i="1"/>
  <c r="AK22" i="1"/>
  <c r="AG24" i="1"/>
  <c r="V28" i="1"/>
  <c r="AW28" i="1"/>
  <c r="AI29" i="1"/>
  <c r="AS30" i="1"/>
  <c r="AK34" i="1"/>
  <c r="T35" i="1"/>
  <c r="AU35" i="1"/>
  <c r="AG36" i="1"/>
  <c r="AG12" i="1"/>
  <c r="AW16" i="1"/>
  <c r="AU23" i="1"/>
  <c r="AY16" i="1"/>
  <c r="T23" i="1"/>
  <c r="AI12" i="1"/>
  <c r="AK17" i="1"/>
  <c r="AG19" i="1"/>
  <c r="AM22" i="1"/>
  <c r="AW23" i="1"/>
  <c r="AA28" i="1"/>
  <c r="AK29" i="1"/>
  <c r="AU30" i="1"/>
  <c r="AM34" i="1"/>
  <c r="AW35" i="1"/>
  <c r="AI36" i="1"/>
  <c r="AS37" i="1"/>
  <c r="T13" i="1"/>
  <c r="AG14" i="1"/>
  <c r="AC16" i="1"/>
  <c r="V18" i="1"/>
  <c r="AY23" i="1"/>
  <c r="AU25" i="1"/>
  <c r="AC28" i="1"/>
  <c r="AM29" i="1"/>
  <c r="V30" i="1"/>
  <c r="AW30" i="1"/>
  <c r="AS32" i="1"/>
  <c r="AO34" i="1"/>
  <c r="AA35" i="1"/>
  <c r="AY35" i="1"/>
  <c r="AK36" i="1"/>
  <c r="AU37" i="1"/>
  <c r="AG38" i="1"/>
  <c r="V16" i="1"/>
  <c r="AS18" i="1"/>
  <c r="AS13" i="1"/>
  <c r="AA16" i="1"/>
  <c r="T18" i="1"/>
  <c r="AU18" i="1"/>
  <c r="V23" i="1"/>
  <c r="AI24" i="1"/>
  <c r="AS25" i="1"/>
  <c r="AY28" i="1"/>
  <c r="T30" i="1"/>
  <c r="AG31" i="1"/>
  <c r="V35" i="1"/>
  <c r="AK12" i="1"/>
  <c r="AU13" i="1"/>
  <c r="BA16" i="1"/>
  <c r="AM17" i="1"/>
  <c r="AW18" i="1"/>
  <c r="AI19" i="1"/>
  <c r="AS20" i="1"/>
  <c r="AO22" i="1"/>
  <c r="AA23" i="1"/>
  <c r="AK24" i="1"/>
  <c r="T25" i="1"/>
  <c r="AG26" i="1"/>
  <c r="BA28" i="1"/>
  <c r="AI31" i="1"/>
  <c r="T37" i="1"/>
  <c r="AM12" i="1"/>
  <c r="V13" i="1"/>
  <c r="AE16" i="1"/>
  <c r="AO17" i="1"/>
  <c r="AA18" i="1"/>
  <c r="T20" i="1"/>
  <c r="AQ22" i="1"/>
  <c r="AC23" i="1"/>
  <c r="BA23" i="1"/>
  <c r="AM24" i="1"/>
  <c r="V25" i="1"/>
  <c r="AE28" i="1"/>
  <c r="AO29" i="1"/>
  <c r="AA30" i="1"/>
  <c r="AY30" i="1"/>
  <c r="AK31" i="1"/>
  <c r="T32" i="1"/>
  <c r="AQ34" i="1"/>
  <c r="AC35" i="1"/>
  <c r="BA35" i="1"/>
  <c r="AM36" i="1"/>
  <c r="V37" i="1"/>
  <c r="AG16" i="1"/>
  <c r="AS22" i="1"/>
  <c r="AG28" i="1"/>
  <c r="AS34" i="1"/>
  <c r="AE35" i="1"/>
  <c r="AO36" i="1"/>
  <c r="AI16" i="1"/>
  <c r="AS17" i="1"/>
  <c r="T22" i="1"/>
  <c r="AU22" i="1"/>
  <c r="AG23" i="1"/>
  <c r="AI28" i="1"/>
  <c r="AS29" i="1"/>
  <c r="T34" i="1"/>
  <c r="AU34" i="1"/>
  <c r="AG35" i="1"/>
  <c r="AQ36" i="1"/>
  <c r="AK16" i="1"/>
  <c r="AU17" i="1"/>
  <c r="V22" i="1"/>
  <c r="AW22" i="1"/>
  <c r="AI23" i="1"/>
  <c r="AS24" i="1"/>
  <c r="AK28" i="1"/>
  <c r="T29" i="1"/>
  <c r="AU29" i="1"/>
  <c r="V34" i="1"/>
  <c r="AW34" i="1"/>
  <c r="AS36" i="1"/>
  <c r="AA34" i="1"/>
  <c r="S39" i="4" l="1"/>
  <c r="AA39" i="4" s="1"/>
  <c r="S38" i="4"/>
  <c r="AG38" i="4" s="1"/>
  <c r="S37" i="4"/>
  <c r="AK37" i="4" s="1"/>
  <c r="S36" i="4"/>
  <c r="AG36" i="4" s="1"/>
  <c r="S35" i="4"/>
  <c r="AA35" i="4" s="1"/>
  <c r="S34" i="4"/>
  <c r="AK34" i="4" s="1"/>
  <c r="S33" i="4"/>
  <c r="AK33" i="4" s="1"/>
  <c r="S32" i="4"/>
  <c r="AC32" i="4" s="1"/>
  <c r="S31" i="4"/>
  <c r="S30" i="4"/>
  <c r="AK30" i="4" s="1"/>
  <c r="S29" i="4"/>
  <c r="S28" i="4"/>
  <c r="AC28" i="4" s="1"/>
  <c r="S27" i="4"/>
  <c r="S26" i="4"/>
  <c r="AK26" i="4" s="1"/>
  <c r="S25" i="4"/>
  <c r="S24" i="4"/>
  <c r="AA24" i="4" s="1"/>
  <c r="S23" i="4"/>
  <c r="S22" i="4"/>
  <c r="AC22" i="4" s="1"/>
  <c r="S21" i="4"/>
  <c r="AK21" i="4" s="1"/>
  <c r="S20" i="4"/>
  <c r="AG20" i="4" s="1"/>
  <c r="S19" i="4"/>
  <c r="AA19" i="4" s="1"/>
  <c r="S18" i="4"/>
  <c r="AK18" i="4" s="1"/>
  <c r="S17" i="4"/>
  <c r="AK17" i="4" s="1"/>
  <c r="S16" i="4"/>
  <c r="AG16" i="4" s="1"/>
  <c r="S15" i="4"/>
  <c r="S14" i="4"/>
  <c r="AK14" i="4" s="1"/>
  <c r="S13" i="4"/>
  <c r="AC13" i="4" s="1"/>
  <c r="S12" i="4"/>
  <c r="AG12" i="4" s="1"/>
  <c r="S11" i="4"/>
  <c r="AA11" i="4" s="1"/>
  <c r="S10" i="4"/>
  <c r="S9" i="4"/>
  <c r="AC9" i="4" s="1"/>
  <c r="S8" i="4"/>
  <c r="S7" i="4"/>
  <c r="S6" i="4"/>
  <c r="AG6" i="4" s="1"/>
  <c r="S5" i="4"/>
  <c r="AK5" i="4" s="1"/>
  <c r="S4" i="4"/>
  <c r="AA4" i="4" s="1"/>
  <c r="S3" i="4"/>
  <c r="S2" i="4"/>
  <c r="S39" i="3"/>
  <c r="AM39" i="3" s="1"/>
  <c r="S38" i="3"/>
  <c r="AM38" i="3" s="1"/>
  <c r="S37" i="3"/>
  <c r="AM37" i="3" s="1"/>
  <c r="S36" i="3"/>
  <c r="AM36" i="3" s="1"/>
  <c r="S35" i="3"/>
  <c r="AM35" i="3" s="1"/>
  <c r="S34" i="3"/>
  <c r="AM34" i="3" s="1"/>
  <c r="S33" i="3"/>
  <c r="AM33" i="3" s="1"/>
  <c r="S32" i="3"/>
  <c r="AM32" i="3" s="1"/>
  <c r="S31" i="3"/>
  <c r="AM31" i="3" s="1"/>
  <c r="S30" i="3"/>
  <c r="AM30" i="3" s="1"/>
  <c r="S29" i="3"/>
  <c r="AM29" i="3" s="1"/>
  <c r="S28" i="3"/>
  <c r="AM28" i="3" s="1"/>
  <c r="S27" i="3"/>
  <c r="AM27" i="3" s="1"/>
  <c r="S26" i="3"/>
  <c r="AM26" i="3" s="1"/>
  <c r="S25" i="3"/>
  <c r="AM25" i="3" s="1"/>
  <c r="S24" i="3"/>
  <c r="AM24" i="3" s="1"/>
  <c r="S23" i="3"/>
  <c r="AM23" i="3" s="1"/>
  <c r="S22" i="3"/>
  <c r="AM22" i="3" s="1"/>
  <c r="S21" i="3"/>
  <c r="AM21" i="3" s="1"/>
  <c r="S20" i="3"/>
  <c r="AM20" i="3" s="1"/>
  <c r="S19" i="3"/>
  <c r="AM19" i="3" s="1"/>
  <c r="S18" i="3"/>
  <c r="AM18" i="3" s="1"/>
  <c r="S17" i="3"/>
  <c r="AM17" i="3" s="1"/>
  <c r="S16" i="3"/>
  <c r="AM16" i="3" s="1"/>
  <c r="S15" i="3"/>
  <c r="AM15" i="3" s="1"/>
  <c r="S14" i="3"/>
  <c r="AM14" i="3" s="1"/>
  <c r="S13" i="3"/>
  <c r="AM13" i="3" s="1"/>
  <c r="S12" i="3"/>
  <c r="AM12" i="3" s="1"/>
  <c r="S11" i="3"/>
  <c r="AM11" i="3" s="1"/>
  <c r="S10" i="3"/>
  <c r="AM10" i="3" s="1"/>
  <c r="S9" i="3"/>
  <c r="AM9" i="3" s="1"/>
  <c r="S8" i="3"/>
  <c r="AM8" i="3" s="1"/>
  <c r="S7" i="3"/>
  <c r="AM7" i="3" s="1"/>
  <c r="S6" i="3"/>
  <c r="AM6" i="3" s="1"/>
  <c r="S5" i="3"/>
  <c r="AM5" i="3" s="1"/>
  <c r="S4" i="3"/>
  <c r="AM4" i="3" s="1"/>
  <c r="S3" i="3"/>
  <c r="AM3" i="3" s="1"/>
  <c r="S2" i="3"/>
  <c r="S39" i="2"/>
  <c r="S38" i="2"/>
  <c r="S37" i="2"/>
  <c r="S36" i="2"/>
  <c r="AM36" i="2" s="1"/>
  <c r="S35" i="2"/>
  <c r="S34" i="2"/>
  <c r="S33" i="2"/>
  <c r="S32" i="2"/>
  <c r="S31" i="2"/>
  <c r="S30" i="2"/>
  <c r="S29" i="2"/>
  <c r="AS29" i="2" s="1"/>
  <c r="S28" i="2"/>
  <c r="S27" i="2"/>
  <c r="S26" i="2"/>
  <c r="S25" i="2"/>
  <c r="S24" i="2"/>
  <c r="S23" i="2"/>
  <c r="AS23" i="2" s="1"/>
  <c r="S22" i="2"/>
  <c r="AI22" i="2" s="1"/>
  <c r="S21" i="2"/>
  <c r="AQ21" i="2" s="1"/>
  <c r="S20" i="2"/>
  <c r="S19" i="2"/>
  <c r="S18" i="2"/>
  <c r="S17" i="2"/>
  <c r="AS17" i="2" s="1"/>
  <c r="S16" i="2"/>
  <c r="S15" i="2"/>
  <c r="AQ15" i="2" s="1"/>
  <c r="S14" i="2"/>
  <c r="S13" i="2"/>
  <c r="AM13" i="2" s="1"/>
  <c r="S12" i="2"/>
  <c r="AO12" i="2" s="1"/>
  <c r="S11" i="2"/>
  <c r="AM11" i="2" s="1"/>
  <c r="S10" i="2"/>
  <c r="AQ10" i="2" s="1"/>
  <c r="S9" i="2"/>
  <c r="AS9" i="2" s="1"/>
  <c r="S8" i="2"/>
  <c r="S7" i="2"/>
  <c r="AA7" i="2" s="1"/>
  <c r="S6" i="2"/>
  <c r="S5" i="2"/>
  <c r="AM5" i="2" s="1"/>
  <c r="S4" i="2"/>
  <c r="S3" i="2"/>
  <c r="AS3" i="2" s="1"/>
  <c r="S2" i="2"/>
  <c r="S11" i="1"/>
  <c r="AC11" i="1" s="1"/>
  <c r="S10" i="1"/>
  <c r="S9" i="1"/>
  <c r="AK9" i="1" s="1"/>
  <c r="S8" i="1"/>
  <c r="AU8" i="1" s="1"/>
  <c r="S7" i="1"/>
  <c r="BA7" i="1" s="1"/>
  <c r="S6" i="1"/>
  <c r="AQ6" i="1" s="1"/>
  <c r="S5" i="1"/>
  <c r="AA5" i="1" s="1"/>
  <c r="S4" i="1"/>
  <c r="BA4" i="1" s="1"/>
  <c r="S3" i="1"/>
  <c r="AU3" i="1" s="1"/>
  <c r="S2" i="1"/>
  <c r="T2" i="3" l="1"/>
  <c r="AM2" i="3"/>
  <c r="AA13" i="4"/>
  <c r="AI13" i="4"/>
  <c r="AK13" i="4"/>
  <c r="AE13" i="4"/>
  <c r="S106" i="4"/>
  <c r="AG13" i="4"/>
  <c r="AC34" i="4"/>
  <c r="AG34" i="4"/>
  <c r="AE12" i="4"/>
  <c r="AC4" i="4"/>
  <c r="AE4" i="4"/>
  <c r="AG22" i="4"/>
  <c r="AI9" i="4"/>
  <c r="AK9" i="4"/>
  <c r="AG4" i="4"/>
  <c r="AK22" i="4"/>
  <c r="AG30" i="4"/>
  <c r="AC21" i="4"/>
  <c r="AC6" i="4"/>
  <c r="AE24" i="4"/>
  <c r="AC12" i="4"/>
  <c r="AE28" i="4"/>
  <c r="AK6" i="4"/>
  <c r="AG28" i="4"/>
  <c r="AG9" i="4"/>
  <c r="AE21" i="4"/>
  <c r="AG24" i="4"/>
  <c r="AI37" i="4"/>
  <c r="AA12" i="4"/>
  <c r="T25" i="4"/>
  <c r="V25" i="4"/>
  <c r="AI10" i="4"/>
  <c r="T10" i="4"/>
  <c r="V10" i="4"/>
  <c r="AI17" i="4"/>
  <c r="V29" i="4"/>
  <c r="T29" i="4"/>
  <c r="AC38" i="4"/>
  <c r="V5" i="4"/>
  <c r="T5" i="4"/>
  <c r="AG21" i="4"/>
  <c r="AC25" i="4"/>
  <c r="AA29" i="4"/>
  <c r="T33" i="4"/>
  <c r="V33" i="4"/>
  <c r="AK3" i="4"/>
  <c r="V3" i="4"/>
  <c r="T3" i="4"/>
  <c r="AG10" i="4"/>
  <c r="AI21" i="4"/>
  <c r="AK27" i="4"/>
  <c r="V27" i="4"/>
  <c r="T27" i="4"/>
  <c r="V37" i="4"/>
  <c r="T37" i="4"/>
  <c r="AA3" i="4"/>
  <c r="AE16" i="4"/>
  <c r="AA20" i="4"/>
  <c r="AA27" i="4"/>
  <c r="AK31" i="4"/>
  <c r="T31" i="4"/>
  <c r="V31" i="4"/>
  <c r="AA37" i="4"/>
  <c r="AK7" i="4"/>
  <c r="V7" i="4"/>
  <c r="T7" i="4"/>
  <c r="AG14" i="4"/>
  <c r="AI18" i="4"/>
  <c r="V18" i="4"/>
  <c r="T18" i="4"/>
  <c r="AC20" i="4"/>
  <c r="AG5" i="4"/>
  <c r="AA7" i="4"/>
  <c r="T13" i="4"/>
  <c r="V13" i="4"/>
  <c r="AC18" i="4"/>
  <c r="AE20" i="4"/>
  <c r="AK25" i="4"/>
  <c r="AI29" i="4"/>
  <c r="AG33" i="4"/>
  <c r="AE37" i="4"/>
  <c r="AK8" i="4"/>
  <c r="T8" i="4"/>
  <c r="V8" i="4"/>
  <c r="AK23" i="4"/>
  <c r="T23" i="4"/>
  <c r="V23" i="4"/>
  <c r="AA16" i="4"/>
  <c r="AA5" i="4"/>
  <c r="AI14" i="4"/>
  <c r="V14" i="4"/>
  <c r="T14" i="4"/>
  <c r="AC16" i="4"/>
  <c r="AE25" i="4"/>
  <c r="AC29" i="4"/>
  <c r="AA33" i="4"/>
  <c r="AC5" i="4"/>
  <c r="V9" i="4"/>
  <c r="T9" i="4"/>
  <c r="AK10" i="4"/>
  <c r="AC14" i="4"/>
  <c r="AG25" i="4"/>
  <c r="AE29" i="4"/>
  <c r="AC33" i="4"/>
  <c r="AE5" i="4"/>
  <c r="AA9" i="4"/>
  <c r="AK24" i="4"/>
  <c r="V24" i="4"/>
  <c r="T24" i="4"/>
  <c r="AI25" i="4"/>
  <c r="AG29" i="4"/>
  <c r="AA31" i="4"/>
  <c r="AE33" i="4"/>
  <c r="AK35" i="4"/>
  <c r="T35" i="4"/>
  <c r="V35" i="4"/>
  <c r="AC37" i="4"/>
  <c r="AK39" i="4"/>
  <c r="T39" i="4"/>
  <c r="V39" i="4"/>
  <c r="AK4" i="4"/>
  <c r="V4" i="4"/>
  <c r="T4" i="4"/>
  <c r="AI5" i="4"/>
  <c r="AE9" i="4"/>
  <c r="AK11" i="4"/>
  <c r="V11" i="4"/>
  <c r="T11" i="4"/>
  <c r="AG18" i="4"/>
  <c r="AI22" i="4"/>
  <c r="T22" i="4"/>
  <c r="V22" i="4"/>
  <c r="AC24" i="4"/>
  <c r="AA28" i="4"/>
  <c r="T28" i="4"/>
  <c r="V28" i="4"/>
  <c r="AK29" i="4"/>
  <c r="AI33" i="4"/>
  <c r="AG37" i="4"/>
  <c r="V17" i="4"/>
  <c r="T17" i="4"/>
  <c r="AA32" i="4"/>
  <c r="V32" i="4"/>
  <c r="T32" i="4"/>
  <c r="AK15" i="4"/>
  <c r="V15" i="4"/>
  <c r="T15" i="4"/>
  <c r="AI26" i="4"/>
  <c r="V26" i="4"/>
  <c r="T26" i="4"/>
  <c r="AA36" i="4"/>
  <c r="V36" i="4"/>
  <c r="T36" i="4"/>
  <c r="AA17" i="4"/>
  <c r="AI2" i="4"/>
  <c r="V2" i="4"/>
  <c r="T2" i="4"/>
  <c r="AC2" i="4"/>
  <c r="AA8" i="4"/>
  <c r="AA15" i="4"/>
  <c r="AC17" i="4"/>
  <c r="V21" i="4"/>
  <c r="T21" i="4"/>
  <c r="AC26" i="4"/>
  <c r="AI30" i="4"/>
  <c r="V30" i="4"/>
  <c r="T30" i="4"/>
  <c r="AE32" i="4"/>
  <c r="AC36" i="4"/>
  <c r="AG2" i="4"/>
  <c r="AI6" i="4"/>
  <c r="V6" i="4"/>
  <c r="T6" i="4"/>
  <c r="AC8" i="4"/>
  <c r="AK12" i="4"/>
  <c r="V12" i="4"/>
  <c r="T12" i="4"/>
  <c r="AE17" i="4"/>
  <c r="AK19" i="4"/>
  <c r="T19" i="4"/>
  <c r="V19" i="4"/>
  <c r="AA21" i="4"/>
  <c r="AG26" i="4"/>
  <c r="AC30" i="4"/>
  <c r="AG32" i="4"/>
  <c r="AI34" i="4"/>
  <c r="V34" i="4"/>
  <c r="T34" i="4"/>
  <c r="AE36" i="4"/>
  <c r="AE8" i="4"/>
  <c r="AG17" i="4"/>
  <c r="AK38" i="4"/>
  <c r="V38" i="4"/>
  <c r="T38" i="4"/>
  <c r="AK2" i="4"/>
  <c r="AG8" i="4"/>
  <c r="AK16" i="4"/>
  <c r="T16" i="4"/>
  <c r="V16" i="4"/>
  <c r="AA25" i="4"/>
  <c r="AC10" i="4"/>
  <c r="AA23" i="4"/>
  <c r="AK20" i="4"/>
  <c r="V20" i="4"/>
  <c r="T20" i="4"/>
  <c r="S106" i="3"/>
  <c r="AL107" i="3" s="1"/>
  <c r="AS19" i="3"/>
  <c r="V19" i="3"/>
  <c r="T19" i="3"/>
  <c r="AS35" i="3"/>
  <c r="V35" i="3"/>
  <c r="T35" i="3"/>
  <c r="AS11" i="3"/>
  <c r="V11" i="3"/>
  <c r="T11" i="3"/>
  <c r="AS31" i="3"/>
  <c r="T31" i="3"/>
  <c r="V31" i="3"/>
  <c r="AS4" i="3"/>
  <c r="T4" i="3"/>
  <c r="V4" i="3"/>
  <c r="AS12" i="3"/>
  <c r="V12" i="3"/>
  <c r="T12" i="3"/>
  <c r="AS20" i="3"/>
  <c r="V20" i="3"/>
  <c r="T20" i="3"/>
  <c r="AS28" i="3"/>
  <c r="T28" i="3"/>
  <c r="V28" i="3"/>
  <c r="AS36" i="3"/>
  <c r="V36" i="3"/>
  <c r="T36" i="3"/>
  <c r="AS7" i="3"/>
  <c r="V7" i="3"/>
  <c r="T7" i="3"/>
  <c r="AS23" i="3"/>
  <c r="V23" i="3"/>
  <c r="T23" i="3"/>
  <c r="AS8" i="3"/>
  <c r="V8" i="3"/>
  <c r="T8" i="3"/>
  <c r="AS16" i="3"/>
  <c r="T16" i="3"/>
  <c r="V16" i="3"/>
  <c r="AS24" i="3"/>
  <c r="V24" i="3"/>
  <c r="T24" i="3"/>
  <c r="AS32" i="3"/>
  <c r="V32" i="3"/>
  <c r="T32" i="3"/>
  <c r="AS15" i="3"/>
  <c r="V15" i="3"/>
  <c r="T15" i="3"/>
  <c r="AS27" i="3"/>
  <c r="T27" i="3"/>
  <c r="V27" i="3"/>
  <c r="AS5" i="3"/>
  <c r="T5" i="3"/>
  <c r="V5" i="3"/>
  <c r="AS9" i="3"/>
  <c r="V9" i="3"/>
  <c r="T9" i="3"/>
  <c r="AS13" i="3"/>
  <c r="V13" i="3"/>
  <c r="T13" i="3"/>
  <c r="AS17" i="3"/>
  <c r="T17" i="3"/>
  <c r="V17" i="3"/>
  <c r="AS21" i="3"/>
  <c r="V21" i="3"/>
  <c r="T21" i="3"/>
  <c r="AS25" i="3"/>
  <c r="V25" i="3"/>
  <c r="T25" i="3"/>
  <c r="AS29" i="3"/>
  <c r="T29" i="3"/>
  <c r="V29" i="3"/>
  <c r="AS33" i="3"/>
  <c r="V33" i="3"/>
  <c r="T33" i="3"/>
  <c r="AS37" i="3"/>
  <c r="V37" i="3"/>
  <c r="T37" i="3"/>
  <c r="AS3" i="3"/>
  <c r="T3" i="3"/>
  <c r="V3" i="3"/>
  <c r="AS39" i="3"/>
  <c r="T39" i="3"/>
  <c r="V39" i="3"/>
  <c r="AS2" i="3"/>
  <c r="V2" i="3"/>
  <c r="AS6" i="3"/>
  <c r="T6" i="3"/>
  <c r="V6" i="3"/>
  <c r="AS10" i="3"/>
  <c r="V10" i="3"/>
  <c r="T10" i="3"/>
  <c r="AS14" i="3"/>
  <c r="T14" i="3"/>
  <c r="V14" i="3"/>
  <c r="AS18" i="3"/>
  <c r="T18" i="3"/>
  <c r="V18" i="3"/>
  <c r="AS22" i="3"/>
  <c r="V22" i="3"/>
  <c r="T22" i="3"/>
  <c r="AS26" i="3"/>
  <c r="T26" i="3"/>
  <c r="V26" i="3"/>
  <c r="AS30" i="3"/>
  <c r="V30" i="3"/>
  <c r="T30" i="3"/>
  <c r="AS34" i="3"/>
  <c r="V34" i="3"/>
  <c r="T34" i="3"/>
  <c r="AS38" i="3"/>
  <c r="T38" i="3"/>
  <c r="V38" i="3"/>
  <c r="AE23" i="2"/>
  <c r="AM29" i="2"/>
  <c r="AS21" i="2"/>
  <c r="AA29" i="2"/>
  <c r="AE29" i="2"/>
  <c r="AG29" i="2"/>
  <c r="AI29" i="2"/>
  <c r="AG23" i="2"/>
  <c r="AK10" i="2"/>
  <c r="AS22" i="2"/>
  <c r="AO10" i="2"/>
  <c r="AA23" i="2"/>
  <c r="AG11" i="2"/>
  <c r="AG36" i="2"/>
  <c r="AI11" i="2"/>
  <c r="AI23" i="2"/>
  <c r="AK36" i="2"/>
  <c r="S106" i="2"/>
  <c r="AR107" i="2" s="1"/>
  <c r="AG22" i="2"/>
  <c r="AM8" i="2"/>
  <c r="T8" i="2"/>
  <c r="V8" i="2"/>
  <c r="AE24" i="2"/>
  <c r="T24" i="2"/>
  <c r="V24" i="2"/>
  <c r="AA26" i="2"/>
  <c r="T26" i="2"/>
  <c r="V26" i="2"/>
  <c r="AQ3" i="2"/>
  <c r="AA15" i="2"/>
  <c r="AE17" i="2"/>
  <c r="AM20" i="2"/>
  <c r="T20" i="2"/>
  <c r="V20" i="2"/>
  <c r="AA24" i="2"/>
  <c r="AM32" i="2"/>
  <c r="T32" i="2"/>
  <c r="V32" i="2"/>
  <c r="AC35" i="2"/>
  <c r="T35" i="2"/>
  <c r="V35" i="2"/>
  <c r="AA38" i="2"/>
  <c r="V38" i="2"/>
  <c r="T38" i="2"/>
  <c r="AQ6" i="2"/>
  <c r="V6" i="2"/>
  <c r="T6" i="2"/>
  <c r="AC13" i="2"/>
  <c r="T13" i="2"/>
  <c r="V13" i="2"/>
  <c r="AG15" i="2"/>
  <c r="AG17" i="2"/>
  <c r="AK32" i="2"/>
  <c r="AK9" i="2"/>
  <c r="T9" i="2"/>
  <c r="V9" i="2"/>
  <c r="AA13" i="2"/>
  <c r="AI15" i="2"/>
  <c r="AQ17" i="2"/>
  <c r="AK24" i="2"/>
  <c r="AO27" i="2"/>
  <c r="V27" i="2"/>
  <c r="T27" i="2"/>
  <c r="AE9" i="2"/>
  <c r="AK11" i="2"/>
  <c r="T11" i="2"/>
  <c r="V11" i="2"/>
  <c r="AI13" i="2"/>
  <c r="AK21" i="2"/>
  <c r="T21" i="2"/>
  <c r="V21" i="2"/>
  <c r="AK23" i="2"/>
  <c r="T23" i="2"/>
  <c r="V23" i="2"/>
  <c r="AM24" i="2"/>
  <c r="AS36" i="2"/>
  <c r="T36" i="2"/>
  <c r="V36" i="2"/>
  <c r="AQ39" i="2"/>
  <c r="V39" i="2"/>
  <c r="T39" i="2"/>
  <c r="AO3" i="2"/>
  <c r="V3" i="2"/>
  <c r="T3" i="2"/>
  <c r="AS4" i="2"/>
  <c r="V4" i="2"/>
  <c r="T4" i="2"/>
  <c r="AO7" i="2"/>
  <c r="T7" i="2"/>
  <c r="V7" i="2"/>
  <c r="AO24" i="2"/>
  <c r="AK33" i="2"/>
  <c r="T33" i="2"/>
  <c r="V33" i="2"/>
  <c r="AK17" i="2"/>
  <c r="V17" i="2"/>
  <c r="T17" i="2"/>
  <c r="AQ18" i="2"/>
  <c r="V18" i="2"/>
  <c r="T18" i="2"/>
  <c r="AS28" i="2"/>
  <c r="V28" i="2"/>
  <c r="T28" i="2"/>
  <c r="AI7" i="2"/>
  <c r="AS16" i="2"/>
  <c r="V16" i="2"/>
  <c r="T16" i="2"/>
  <c r="AG28" i="2"/>
  <c r="AQ30" i="2"/>
  <c r="V30" i="2"/>
  <c r="T30" i="2"/>
  <c r="AK5" i="2"/>
  <c r="V5" i="2"/>
  <c r="T5" i="2"/>
  <c r="AM7" i="2"/>
  <c r="AA10" i="2"/>
  <c r="T10" i="2"/>
  <c r="V10" i="2"/>
  <c r="AA14" i="2"/>
  <c r="V14" i="2"/>
  <c r="T14" i="2"/>
  <c r="AC16" i="2"/>
  <c r="AC25" i="2"/>
  <c r="T25" i="2"/>
  <c r="V25" i="2"/>
  <c r="AA34" i="2"/>
  <c r="T34" i="2"/>
  <c r="V34" i="2"/>
  <c r="AA2" i="2"/>
  <c r="V2" i="2"/>
  <c r="T2" i="2"/>
  <c r="AG5" i="2"/>
  <c r="AQ7" i="2"/>
  <c r="AG10" i="2"/>
  <c r="AG14" i="2"/>
  <c r="AA22" i="2"/>
  <c r="T22" i="2"/>
  <c r="V22" i="2"/>
  <c r="AA25" i="2"/>
  <c r="AI34" i="2"/>
  <c r="AI5" i="2"/>
  <c r="AI10" i="2"/>
  <c r="AE12" i="2"/>
  <c r="T12" i="2"/>
  <c r="V12" i="2"/>
  <c r="AO19" i="2"/>
  <c r="T19" i="2"/>
  <c r="V19" i="2"/>
  <c r="AE22" i="2"/>
  <c r="AK29" i="2"/>
  <c r="V29" i="2"/>
  <c r="T29" i="2"/>
  <c r="AO31" i="2"/>
  <c r="T31" i="2"/>
  <c r="V31" i="2"/>
  <c r="AK34" i="2"/>
  <c r="AC37" i="2"/>
  <c r="T37" i="2"/>
  <c r="V37" i="2"/>
  <c r="AO15" i="2"/>
  <c r="V15" i="2"/>
  <c r="T15" i="2"/>
  <c r="AC17" i="2"/>
  <c r="AG24" i="2"/>
  <c r="AG2" i="1"/>
  <c r="S106" i="1"/>
  <c r="BA9" i="1"/>
  <c r="AY8" i="1"/>
  <c r="AM8" i="1"/>
  <c r="AG9" i="1"/>
  <c r="AY7" i="1"/>
  <c r="AU9" i="1"/>
  <c r="AE9" i="1"/>
  <c r="AI11" i="1"/>
  <c r="AO9" i="1"/>
  <c r="AY9" i="1"/>
  <c r="AC9" i="1"/>
  <c r="AU7" i="1"/>
  <c r="AI9" i="1"/>
  <c r="AE11" i="1"/>
  <c r="AK8" i="1"/>
  <c r="AQ9" i="1"/>
  <c r="AG11" i="1"/>
  <c r="AO11" i="1"/>
  <c r="AQ11" i="1"/>
  <c r="AC7" i="1"/>
  <c r="AM4" i="1"/>
  <c r="AU11" i="1"/>
  <c r="AS11" i="1"/>
  <c r="AE7" i="1"/>
  <c r="AQ4" i="1"/>
  <c r="AG7" i="1"/>
  <c r="AA9" i="1"/>
  <c r="AS3" i="1"/>
  <c r="AS4" i="1"/>
  <c r="AW4" i="1"/>
  <c r="AK6" i="1"/>
  <c r="AQ8" i="1"/>
  <c r="AW11" i="1"/>
  <c r="V11" i="1"/>
  <c r="T11" i="1"/>
  <c r="AY11" i="1"/>
  <c r="AM6" i="1"/>
  <c r="AS8" i="1"/>
  <c r="AA11" i="1"/>
  <c r="BA11" i="1"/>
  <c r="AO6" i="1"/>
  <c r="AG6" i="1"/>
  <c r="AQ3" i="1"/>
  <c r="V3" i="1"/>
  <c r="T3" i="1"/>
  <c r="AY4" i="1"/>
  <c r="T4" i="1"/>
  <c r="V4" i="1"/>
  <c r="AC4" i="1"/>
  <c r="AE8" i="1"/>
  <c r="V8" i="1"/>
  <c r="T8" i="1"/>
  <c r="AA8" i="1"/>
  <c r="AM3" i="1"/>
  <c r="AC5" i="1"/>
  <c r="T5" i="1"/>
  <c r="V5" i="1"/>
  <c r="BA8" i="1"/>
  <c r="AE2" i="1"/>
  <c r="AE4" i="1"/>
  <c r="AG4" i="1"/>
  <c r="AY5" i="1"/>
  <c r="AW7" i="1"/>
  <c r="V7" i="1"/>
  <c r="T7" i="1"/>
  <c r="AC8" i="1"/>
  <c r="AK11" i="1"/>
  <c r="AI4" i="1"/>
  <c r="AA7" i="1"/>
  <c r="AG8" i="1"/>
  <c r="AW9" i="1"/>
  <c r="V9" i="1"/>
  <c r="T9" i="1"/>
  <c r="AM11" i="1"/>
  <c r="BA2" i="1"/>
  <c r="T2" i="1"/>
  <c r="V2" i="1"/>
  <c r="AK4" i="1"/>
  <c r="AI8" i="1"/>
  <c r="AE6" i="1"/>
  <c r="T6" i="1"/>
  <c r="V6" i="1"/>
  <c r="AU10" i="1"/>
  <c r="V10" i="1"/>
  <c r="T10" i="1"/>
  <c r="AI6" i="1"/>
  <c r="AO8" i="1"/>
  <c r="AA27" i="2"/>
  <c r="AG2" i="2"/>
  <c r="AQ5" i="2"/>
  <c r="AM9" i="2"/>
  <c r="AQ11" i="2"/>
  <c r="AS20" i="2"/>
  <c r="AM25" i="2"/>
  <c r="AG27" i="2"/>
  <c r="AE34" i="2"/>
  <c r="AE35" i="2"/>
  <c r="AC36" i="2"/>
  <c r="AM37" i="2"/>
  <c r="AI39" i="2"/>
  <c r="AC4" i="2"/>
  <c r="AS5" i="2"/>
  <c r="AQ9" i="2"/>
  <c r="AS10" i="2"/>
  <c r="AS11" i="2"/>
  <c r="AE13" i="2"/>
  <c r="AE15" i="2"/>
  <c r="AA17" i="2"/>
  <c r="AC22" i="2"/>
  <c r="AC23" i="2"/>
  <c r="AC24" i="2"/>
  <c r="AI27" i="2"/>
  <c r="AC29" i="2"/>
  <c r="AG34" i="2"/>
  <c r="AG35" i="2"/>
  <c r="AE36" i="2"/>
  <c r="AS39" i="2"/>
  <c r="AQ27" i="2"/>
  <c r="AI35" i="2"/>
  <c r="AK8" i="2"/>
  <c r="AS27" i="2"/>
  <c r="AA31" i="2"/>
  <c r="AG33" i="2"/>
  <c r="AK35" i="2"/>
  <c r="AE21" i="2"/>
  <c r="AA3" i="2"/>
  <c r="AO8" i="2"/>
  <c r="AM31" i="2"/>
  <c r="AO34" i="2"/>
  <c r="AM35" i="2"/>
  <c r="AC38" i="2"/>
  <c r="AS15" i="2"/>
  <c r="AM19" i="2"/>
  <c r="AG21" i="2"/>
  <c r="AK22" i="2"/>
  <c r="AM23" i="2"/>
  <c r="AG26" i="2"/>
  <c r="AQ31" i="2"/>
  <c r="AM33" i="2"/>
  <c r="AQ34" i="2"/>
  <c r="AO35" i="2"/>
  <c r="AO36" i="2"/>
  <c r="AG38" i="2"/>
  <c r="AA19" i="2"/>
  <c r="AC26" i="2"/>
  <c r="AA11" i="2"/>
  <c r="AG3" i="2"/>
  <c r="AC10" i="2"/>
  <c r="AC11" i="2"/>
  <c r="AG12" i="2"/>
  <c r="AM17" i="2"/>
  <c r="AQ19" i="2"/>
  <c r="AI21" i="2"/>
  <c r="AO22" i="2"/>
  <c r="AO23" i="2"/>
  <c r="AK26" i="2"/>
  <c r="AO29" i="2"/>
  <c r="AQ33" i="2"/>
  <c r="AS34" i="2"/>
  <c r="AQ35" i="2"/>
  <c r="AI33" i="2"/>
  <c r="AE3" i="2"/>
  <c r="AA5" i="2"/>
  <c r="AS8" i="2"/>
  <c r="AC12" i="2"/>
  <c r="AI17" i="2"/>
  <c r="AC5" i="2"/>
  <c r="AI3" i="2"/>
  <c r="AE5" i="2"/>
  <c r="AE10" i="2"/>
  <c r="AE11" i="2"/>
  <c r="AK12" i="2"/>
  <c r="AC14" i="2"/>
  <c r="AO17" i="2"/>
  <c r="AM21" i="2"/>
  <c r="AQ22" i="2"/>
  <c r="AQ23" i="2"/>
  <c r="AC28" i="2"/>
  <c r="AQ29" i="2"/>
  <c r="AS33" i="2"/>
  <c r="AS35" i="2"/>
  <c r="AA37" i="2"/>
  <c r="AA39" i="2"/>
  <c r="AG9" i="2"/>
  <c r="AE37" i="2"/>
  <c r="AK20" i="2"/>
  <c r="AE25" i="2"/>
  <c r="AO32" i="2"/>
  <c r="AA35" i="2"/>
  <c r="AE39" i="2"/>
  <c r="AC2" i="2"/>
  <c r="AO5" i="2"/>
  <c r="AI9" i="2"/>
  <c r="AO11" i="2"/>
  <c r="AO20" i="2"/>
  <c r="AI25" i="2"/>
  <c r="AE27" i="2"/>
  <c r="AS32" i="2"/>
  <c r="AC34" i="2"/>
  <c r="AA36" i="2"/>
  <c r="AI37" i="2"/>
  <c r="AG39" i="2"/>
  <c r="AC3" i="4"/>
  <c r="AI4" i="4"/>
  <c r="AC7" i="4"/>
  <c r="AI8" i="4"/>
  <c r="AC11" i="4"/>
  <c r="AI12" i="4"/>
  <c r="AC15" i="4"/>
  <c r="AI16" i="4"/>
  <c r="AC19" i="4"/>
  <c r="AI20" i="4"/>
  <c r="AC23" i="4"/>
  <c r="AI24" i="4"/>
  <c r="AC27" i="4"/>
  <c r="AI28" i="4"/>
  <c r="AC31" i="4"/>
  <c r="AI32" i="4"/>
  <c r="AC35" i="4"/>
  <c r="AI36" i="4"/>
  <c r="AC39" i="4"/>
  <c r="AE3" i="4"/>
  <c r="AE7" i="4"/>
  <c r="AE11" i="4"/>
  <c r="AE15" i="4"/>
  <c r="AE19" i="4"/>
  <c r="AE23" i="4"/>
  <c r="AE27" i="4"/>
  <c r="AK28" i="4"/>
  <c r="AE31" i="4"/>
  <c r="AK32" i="4"/>
  <c r="AE35" i="4"/>
  <c r="AK36" i="4"/>
  <c r="AE39" i="4"/>
  <c r="AA2" i="4"/>
  <c r="AG3" i="4"/>
  <c r="AA6" i="4"/>
  <c r="AG7" i="4"/>
  <c r="AA10" i="4"/>
  <c r="AG11" i="4"/>
  <c r="AA14" i="4"/>
  <c r="AG15" i="4"/>
  <c r="AA18" i="4"/>
  <c r="AG19" i="4"/>
  <c r="AA22" i="4"/>
  <c r="AG23" i="4"/>
  <c r="AA26" i="4"/>
  <c r="AG27" i="4"/>
  <c r="AA30" i="4"/>
  <c r="AG31" i="4"/>
  <c r="AA34" i="4"/>
  <c r="AG35" i="4"/>
  <c r="AA38" i="4"/>
  <c r="AG39" i="4"/>
  <c r="AI3" i="4"/>
  <c r="AI7" i="4"/>
  <c r="AI11" i="4"/>
  <c r="AI15" i="4"/>
  <c r="AI19" i="4"/>
  <c r="AI23" i="4"/>
  <c r="AI27" i="4"/>
  <c r="AI31" i="4"/>
  <c r="AI35" i="4"/>
  <c r="AI39" i="4"/>
  <c r="AE2" i="4"/>
  <c r="AE6" i="4"/>
  <c r="AE10" i="4"/>
  <c r="AE14" i="4"/>
  <c r="AE18" i="4"/>
  <c r="AE22" i="4"/>
  <c r="AE26" i="4"/>
  <c r="AE30" i="4"/>
  <c r="AE34" i="4"/>
  <c r="AE38" i="4"/>
  <c r="AI38" i="4"/>
  <c r="AA2" i="3"/>
  <c r="AA3" i="3"/>
  <c r="AA4"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C2" i="3"/>
  <c r="AC3" i="3"/>
  <c r="AC4" i="3"/>
  <c r="AC5" i="3"/>
  <c r="AC6" i="3"/>
  <c r="AC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E2" i="3"/>
  <c r="AE3" i="3"/>
  <c r="AE4" i="3"/>
  <c r="AE5" i="3"/>
  <c r="AE6" i="3"/>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G2" i="3"/>
  <c r="AG3"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I2" i="3"/>
  <c r="AI3" i="3"/>
  <c r="AI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39" i="3"/>
  <c r="AK2" i="3"/>
  <c r="AK3" i="3"/>
  <c r="AK4" i="3"/>
  <c r="AK5" i="3"/>
  <c r="AK6" i="3"/>
  <c r="AK7" i="3"/>
  <c r="AK8" i="3"/>
  <c r="AK9" i="3"/>
  <c r="AK10"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O2" i="3"/>
  <c r="AO3" i="3"/>
  <c r="AO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Q2" i="3"/>
  <c r="AQ3" i="3"/>
  <c r="AQ4" i="3"/>
  <c r="AQ5" i="3"/>
  <c r="AQ6" i="3"/>
  <c r="AQ7" i="3"/>
  <c r="AQ8" i="3"/>
  <c r="AQ9" i="3"/>
  <c r="AQ10" i="3"/>
  <c r="AQ11" i="3"/>
  <c r="AQ12" i="3"/>
  <c r="AQ13" i="3"/>
  <c r="AQ14" i="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S6" i="2"/>
  <c r="AS18" i="2"/>
  <c r="AS30" i="2"/>
  <c r="AE2" i="2"/>
  <c r="AC3" i="2"/>
  <c r="AA4" i="2"/>
  <c r="AS7" i="2"/>
  <c r="AQ8" i="2"/>
  <c r="AO9" i="2"/>
  <c r="AM10" i="2"/>
  <c r="AI12" i="2"/>
  <c r="AG13" i="2"/>
  <c r="AE14" i="2"/>
  <c r="AC15" i="2"/>
  <c r="AA16" i="2"/>
  <c r="AS19" i="2"/>
  <c r="AQ20" i="2"/>
  <c r="AO21" i="2"/>
  <c r="AM22" i="2"/>
  <c r="AI24" i="2"/>
  <c r="AG25" i="2"/>
  <c r="AE26" i="2"/>
  <c r="AC27" i="2"/>
  <c r="AA28" i="2"/>
  <c r="AS31" i="2"/>
  <c r="AQ32" i="2"/>
  <c r="AO33" i="2"/>
  <c r="AM34" i="2"/>
  <c r="AI36" i="2"/>
  <c r="AG37" i="2"/>
  <c r="AE38" i="2"/>
  <c r="AC39" i="2"/>
  <c r="AI2" i="2"/>
  <c r="AE4" i="2"/>
  <c r="AA6" i="2"/>
  <c r="AM12" i="2"/>
  <c r="AK13" i="2"/>
  <c r="AI14" i="2"/>
  <c r="AE16" i="2"/>
  <c r="AA18" i="2"/>
  <c r="AK25" i="2"/>
  <c r="AI26" i="2"/>
  <c r="AE28" i="2"/>
  <c r="AA30" i="2"/>
  <c r="AK37" i="2"/>
  <c r="AI38" i="2"/>
  <c r="AC18" i="2"/>
  <c r="AC30" i="2"/>
  <c r="AK38" i="2"/>
  <c r="AK2" i="2"/>
  <c r="AC6" i="2"/>
  <c r="AG16" i="2"/>
  <c r="AM2" i="2"/>
  <c r="AK3" i="2"/>
  <c r="AI4" i="2"/>
  <c r="AA8" i="2"/>
  <c r="AQ12" i="2"/>
  <c r="AO13" i="2"/>
  <c r="AM14" i="2"/>
  <c r="AK15" i="2"/>
  <c r="AI16" i="2"/>
  <c r="AC19" i="2"/>
  <c r="AQ24" i="2"/>
  <c r="AO25" i="2"/>
  <c r="AM26" i="2"/>
  <c r="AK27" i="2"/>
  <c r="AI28" i="2"/>
  <c r="AE30" i="2"/>
  <c r="AC31" i="2"/>
  <c r="AA32" i="2"/>
  <c r="AQ36" i="2"/>
  <c r="AO37" i="2"/>
  <c r="AM38" i="2"/>
  <c r="AK39" i="2"/>
  <c r="AK14" i="2"/>
  <c r="AC7" i="2"/>
  <c r="AE18" i="2"/>
  <c r="AO2" i="2"/>
  <c r="AM3" i="2"/>
  <c r="AK4" i="2"/>
  <c r="AG6" i="2"/>
  <c r="AE7" i="2"/>
  <c r="AC8" i="2"/>
  <c r="AA9" i="2"/>
  <c r="AS12" i="2"/>
  <c r="AQ13" i="2"/>
  <c r="AO14" i="2"/>
  <c r="AM15" i="2"/>
  <c r="AK16" i="2"/>
  <c r="AG18" i="2"/>
  <c r="AE19" i="2"/>
  <c r="AC20" i="2"/>
  <c r="AA21" i="2"/>
  <c r="AS24" i="2"/>
  <c r="AQ25" i="2"/>
  <c r="AO26" i="2"/>
  <c r="AM27" i="2"/>
  <c r="AK28" i="2"/>
  <c r="AG30" i="2"/>
  <c r="AE31" i="2"/>
  <c r="AC32" i="2"/>
  <c r="AA33" i="2"/>
  <c r="AQ37" i="2"/>
  <c r="AO38" i="2"/>
  <c r="AM39" i="2"/>
  <c r="AG4" i="2"/>
  <c r="AE6" i="2"/>
  <c r="AA20" i="2"/>
  <c r="AQ2" i="2"/>
  <c r="AM4" i="2"/>
  <c r="AI6" i="2"/>
  <c r="AG7" i="2"/>
  <c r="AE8" i="2"/>
  <c r="AC9" i="2"/>
  <c r="AS13" i="2"/>
  <c r="AQ14" i="2"/>
  <c r="AM16" i="2"/>
  <c r="AI18" i="2"/>
  <c r="AG19" i="2"/>
  <c r="AE20" i="2"/>
  <c r="AC21" i="2"/>
  <c r="AS25" i="2"/>
  <c r="AQ26" i="2"/>
  <c r="AM28" i="2"/>
  <c r="AI30" i="2"/>
  <c r="AG31" i="2"/>
  <c r="AE32" i="2"/>
  <c r="AC33" i="2"/>
  <c r="AS37" i="2"/>
  <c r="AQ38" i="2"/>
  <c r="AO39" i="2"/>
  <c r="AS2" i="2"/>
  <c r="AO4" i="2"/>
  <c r="AK6" i="2"/>
  <c r="AG8" i="2"/>
  <c r="AS14" i="2"/>
  <c r="AO16" i="2"/>
  <c r="AK18" i="2"/>
  <c r="AI19" i="2"/>
  <c r="AG20" i="2"/>
  <c r="AS26" i="2"/>
  <c r="AO28" i="2"/>
  <c r="AK30" i="2"/>
  <c r="AI31" i="2"/>
  <c r="AG32" i="2"/>
  <c r="AE33" i="2"/>
  <c r="AS38" i="2"/>
  <c r="AQ4" i="2"/>
  <c r="AM6" i="2"/>
  <c r="AK7" i="2"/>
  <c r="AI8" i="2"/>
  <c r="AA12" i="2"/>
  <c r="AQ16" i="2"/>
  <c r="AM18" i="2"/>
  <c r="AK19" i="2"/>
  <c r="AI20" i="2"/>
  <c r="AQ28" i="2"/>
  <c r="AM30" i="2"/>
  <c r="AK31" i="2"/>
  <c r="AI32" i="2"/>
  <c r="AO18" i="2"/>
  <c r="AO6" i="2"/>
  <c r="AO30" i="2"/>
  <c r="BA5" i="1"/>
  <c r="AK2" i="1"/>
  <c r="AA3" i="1"/>
  <c r="AY3" i="1"/>
  <c r="AO4" i="1"/>
  <c r="AE5" i="1"/>
  <c r="AS6" i="1"/>
  <c r="AI7" i="1"/>
  <c r="AW8" i="1"/>
  <c r="AM9" i="1"/>
  <c r="AC10" i="1"/>
  <c r="BA10" i="1"/>
  <c r="AA10" i="1"/>
  <c r="AM2" i="1"/>
  <c r="AC3" i="1"/>
  <c r="BA3" i="1"/>
  <c r="AG5" i="1"/>
  <c r="AU6" i="1"/>
  <c r="AK7" i="1"/>
  <c r="AE10" i="1"/>
  <c r="AW3" i="1"/>
  <c r="AE3" i="1"/>
  <c r="AI5" i="1"/>
  <c r="AM7" i="1"/>
  <c r="AY10" i="1"/>
  <c r="AQ2" i="1"/>
  <c r="AG3" i="1"/>
  <c r="AU4" i="1"/>
  <c r="AK5" i="1"/>
  <c r="AA6" i="1"/>
  <c r="AY6" i="1"/>
  <c r="AO7" i="1"/>
  <c r="AS9" i="1"/>
  <c r="AI10" i="1"/>
  <c r="AW10" i="1"/>
  <c r="AI2" i="1"/>
  <c r="AS2" i="1"/>
  <c r="AI3" i="1"/>
  <c r="AM5" i="1"/>
  <c r="AC6" i="1"/>
  <c r="BA6" i="1"/>
  <c r="AQ7" i="1"/>
  <c r="AK10" i="1"/>
  <c r="AO2" i="1"/>
  <c r="AW6" i="1"/>
  <c r="AG10" i="1"/>
  <c r="AU2" i="1"/>
  <c r="AK3" i="1"/>
  <c r="AA4" i="1"/>
  <c r="AO5" i="1"/>
  <c r="AS7" i="1"/>
  <c r="AM10" i="1"/>
  <c r="AW2" i="1"/>
  <c r="AQ5" i="1"/>
  <c r="AO10" i="1"/>
  <c r="AA2" i="1"/>
  <c r="AY2" i="1"/>
  <c r="AO3" i="1"/>
  <c r="AS5" i="1"/>
  <c r="AQ10" i="1"/>
  <c r="AC2" i="1"/>
  <c r="AU5" i="1"/>
  <c r="AS10" i="1"/>
  <c r="AW5" i="1"/>
  <c r="Z106" i="1"/>
  <c r="AJ106" i="1"/>
  <c r="AN106" i="1"/>
  <c r="AF106" i="1"/>
  <c r="M106" i="1"/>
  <c r="M107" i="1" s="1"/>
  <c r="AT106" i="1"/>
  <c r="AX106" i="1"/>
  <c r="AV106" i="1"/>
  <c r="AD106" i="1"/>
  <c r="AB106" i="1"/>
  <c r="AZ106" i="1"/>
  <c r="AL106" i="1"/>
  <c r="AR106" i="1"/>
  <c r="AP106" i="1"/>
  <c r="AH106" i="1"/>
  <c r="BE107" i="1" l="1"/>
  <c r="BD107" i="1"/>
  <c r="BF107" i="1"/>
  <c r="Z107" i="1"/>
  <c r="AJ107" i="4"/>
  <c r="AH107" i="4"/>
  <c r="AF107" i="4"/>
  <c r="AD107" i="4"/>
  <c r="AB107" i="4"/>
  <c r="Z107" i="4"/>
  <c r="AD107" i="3"/>
  <c r="AB107" i="3"/>
  <c r="AN107" i="3"/>
  <c r="AR107" i="3"/>
  <c r="AP107" i="3"/>
  <c r="AF107" i="3"/>
  <c r="AH107" i="3"/>
  <c r="AJ107" i="3"/>
  <c r="Z107" i="3"/>
  <c r="AN107" i="2"/>
  <c r="AL107" i="2"/>
  <c r="AD107" i="2"/>
  <c r="Z107" i="2"/>
  <c r="AB107" i="2"/>
  <c r="AP107" i="2"/>
  <c r="AF107" i="2"/>
  <c r="AJ107" i="2"/>
  <c r="AH107" i="2"/>
  <c r="AL107" i="1"/>
  <c r="AJ107" i="1"/>
  <c r="AV107" i="1"/>
  <c r="AH107" i="1"/>
  <c r="AN107" i="1"/>
  <c r="AD107" i="1"/>
  <c r="AZ107" i="1"/>
  <c r="AT107" i="1"/>
  <c r="AP107" i="1"/>
  <c r="AR107" i="1"/>
  <c r="AF107" i="1"/>
  <c r="AB107" i="1"/>
  <c r="AX107" i="1"/>
</calcChain>
</file>

<file path=xl/sharedStrings.xml><?xml version="1.0" encoding="utf-8"?>
<sst xmlns="http://schemas.openxmlformats.org/spreadsheetml/2006/main" count="2795" uniqueCount="298">
  <si>
    <t>level</t>
  </si>
  <si>
    <t>reg</t>
  </si>
  <si>
    <t>oik</t>
  </si>
  <si>
    <t>tik</t>
  </si>
  <si>
    <t>uik</t>
  </si>
  <si>
    <t>Число избирателей, внесенных в список избирателей на момент окончания голосования</t>
  </si>
  <si>
    <t>Число избирательных бюллетеней, полученных участковой избирательной комиссией</t>
  </si>
  <si>
    <t>Число избирательных бюллетеней, выданных избирателям, проголосовавшим досрочно</t>
  </si>
  <si>
    <t>Число избирательных бюллетеней, выданных в помещении для голосования в день голосования</t>
  </si>
  <si>
    <t>Число избирательных бюллетеней, выданных вне помещения для голосования в день голосования</t>
  </si>
  <si>
    <t>Явка</t>
  </si>
  <si>
    <t>Надомка</t>
  </si>
  <si>
    <t>Число погашенных избирательных бюллетеней</t>
  </si>
  <si>
    <t>Число избирательных бюллетеней, содержащихся в переносных ящиках для голосования</t>
  </si>
  <si>
    <t>Число избирательных бюллетеней, содержащихся в стационарных ящиках для голосования</t>
  </si>
  <si>
    <t>Обнаружено</t>
  </si>
  <si>
    <t>Число недействительных избирательных бюллетеней</t>
  </si>
  <si>
    <t>Число действительных избирательных бюллетеней</t>
  </si>
  <si>
    <t>Число утраченных избирательных бюллетеней</t>
  </si>
  <si>
    <t>Число избирательных бюллетеней, не учтенных при получении</t>
  </si>
  <si>
    <t>1. Политическая партия "КОММУНИСТИЧЕСКАЯ ПАРТИЯ РОССИЙСКОЙ ФЕДЕРАЦИИ"</t>
  </si>
  <si>
    <t>КПРФ</t>
  </si>
  <si>
    <t>2. Политическая партия "Российская экологическая партия "ЗЕЛЁНЫЕ"</t>
  </si>
  <si>
    <t>Экол. зеленые</t>
  </si>
  <si>
    <t>3. Политическая партия ЛДПР – Либерально-демократическая партия России</t>
  </si>
  <si>
    <t>ЛДПР</t>
  </si>
  <si>
    <t>4. Политическая партия "НОВЫЕ ЛЮДИ"</t>
  </si>
  <si>
    <t>Новые люди</t>
  </si>
  <si>
    <t>5. Всероссийская политическая партия "ЕДИНАЯ РОССИЯ"</t>
  </si>
  <si>
    <t>Единая Россия</t>
  </si>
  <si>
    <t>6. Партия СПРАВЕДЛИВАЯ РОССИЯ – ЗА ПРАВДУ</t>
  </si>
  <si>
    <t>СР</t>
  </si>
  <si>
    <t>7. Политическая партия "Российская объединенная демократическая партия "ЯБЛОКО"</t>
  </si>
  <si>
    <t>Яблоко</t>
  </si>
  <si>
    <t>8. Всероссийская политическая партия "ПАРТИЯ РОСТА"</t>
  </si>
  <si>
    <t>Роста</t>
  </si>
  <si>
    <t>9. Политическая партия РОССИЙСКАЯ ПАРТИЯ СВОБОДЫ И СПРАВЕДЛИВОСТИ</t>
  </si>
  <si>
    <t>Свободы</t>
  </si>
  <si>
    <t>10. Политическая партия КОММУНИСТИЧЕСКАЯ ПАРТИЯ КОММУНИСТЫ РОССИИ</t>
  </si>
  <si>
    <t>КР</t>
  </si>
  <si>
    <t>11. Политическая партия "Гражданская Платформа"</t>
  </si>
  <si>
    <t>Гражданская платф.</t>
  </si>
  <si>
    <t>12. Политическая партия ЗЕЛЕНАЯ АЛЬТЕРНАТИВА</t>
  </si>
  <si>
    <t>Зеленая альт.</t>
  </si>
  <si>
    <t>13. ВСЕРОССИЙСКАЯ ПОЛИТИЧЕСКАЯ ПАРТИЯ "РОДИНА"</t>
  </si>
  <si>
    <t>Родина</t>
  </si>
  <si>
    <t>14. ПАРТИЯ ПЕНСИОНЕРОВ</t>
  </si>
  <si>
    <t>Пенсионеров</t>
  </si>
  <si>
    <t>url</t>
  </si>
  <si>
    <t>ЦИК России</t>
  </si>
  <si>
    <t>Московская область</t>
  </si>
  <si>
    <t>ОИК №122</t>
  </si>
  <si>
    <t>Явка:</t>
  </si>
  <si>
    <t>Число избирателей, внесенных в список на момент окончания голосования</t>
  </si>
  <si>
    <t>Число бюллетеней, полученных участковой избирательной комиссией</t>
  </si>
  <si>
    <t>Число бюллетеней, выданных избирателям в помещении для голосования в день голосования</t>
  </si>
  <si>
    <t>Число бюллетеней, выданных избирателям, проголосовавшим вне помещения для голосования в день голосо</t>
  </si>
  <si>
    <t>Число погашенных бюллетеней</t>
  </si>
  <si>
    <t>Число бюллетеней, содержащихся в переносных ящиках для голосования</t>
  </si>
  <si>
    <t>Число бюллетеней, содержащихся в стационарных ящиках для голосования</t>
  </si>
  <si>
    <t>Число недействительных бюллетеней</t>
  </si>
  <si>
    <t>Число действительных бюллетеней</t>
  </si>
  <si>
    <t>Число утраченных бюллетеней</t>
  </si>
  <si>
    <t>Число бюллетеней, не учтенных при получении</t>
  </si>
  <si>
    <t>1. ВСЕРОССИЙСКАЯ ПОЛИТИЧЕСКАЯ ПАРТИЯ "РОДИНА"</t>
  </si>
  <si>
    <t>2. Политическая партия ЛДПР – Либерально-демократическая партия России</t>
  </si>
  <si>
    <t>3. Политическая партия "НОВЫЕ ЛЮДИ"</t>
  </si>
  <si>
    <t>4. ПАРТИЯ ПЕНСИОНЕРОВ</t>
  </si>
  <si>
    <t>5. Политическая партия "КОММУНИСТИЧЕСКАЯ ПАРТИЯ РОССИЙСКОЙ ФЕДЕРАЦИИ"</t>
  </si>
  <si>
    <t>6. Всероссийская политическая партия "ЕДИНАЯ РОССИЯ"</t>
  </si>
  <si>
    <t>7. Политическая партия "Российская экологическая партия "ЗЕЛЁНЫЕ"</t>
  </si>
  <si>
    <t>8. Политическая партия "Российская объединенная демократическая партия "ЯБЛОКО"</t>
  </si>
  <si>
    <t>9. Политическая партия КОММУНИСТИЧЕСКАЯ ПАРТИЯ КОММУНИСТЫ РОССИИ</t>
  </si>
  <si>
    <t>10. Партия СПРАВЕДЛИВАЯ РОССИЯ – ЗА ПРАВДУ</t>
  </si>
  <si>
    <t>Избирательная комиссия Московской области</t>
  </si>
  <si>
    <t>Дуленков Алексей Николаевич</t>
  </si>
  <si>
    <t>Дуленков (Яблоко)</t>
  </si>
  <si>
    <t>Калимуллин Руслан Рамилевич</t>
  </si>
  <si>
    <t>Калимуллин (Новые люди)</t>
  </si>
  <si>
    <t>Кумохин Александр Геннадиевич</t>
  </si>
  <si>
    <t>Кумохин (СР)</t>
  </si>
  <si>
    <t>Майданов Денис Васильевич</t>
  </si>
  <si>
    <t>Майданов (Единая Россия)</t>
  </si>
  <si>
    <t>Пархоменко Дмитрий Владимирович</t>
  </si>
  <si>
    <t>Пархоменко (ЛДПР)</t>
  </si>
  <si>
    <t>Степанов Федор Александрович</t>
  </si>
  <si>
    <t>Степанов (КР)</t>
  </si>
  <si>
    <t>Теняев Сергей Александрович</t>
  </si>
  <si>
    <t>Теняев (КПРФ)</t>
  </si>
  <si>
    <t>Ханафиев Жаудат Габдулганиевич</t>
  </si>
  <si>
    <t>Ханафиев (Пенсионеров)</t>
  </si>
  <si>
    <t>Шерягин Владимир Геннадьевич</t>
  </si>
  <si>
    <t>Шерягин (Родина)</t>
  </si>
  <si>
    <t>Надомка от списка</t>
  </si>
  <si>
    <t>Недействительных</t>
  </si>
  <si>
    <t>Total</t>
  </si>
  <si>
    <t>Наблюдателей</t>
  </si>
  <si>
    <t>Column1</t>
  </si>
  <si>
    <t>УИК</t>
  </si>
  <si>
    <t>Местоположение</t>
  </si>
  <si>
    <t>Column4</t>
  </si>
  <si>
    <t>Вес участка</t>
  </si>
  <si>
    <t>Наро-Фоминская городская</t>
  </si>
  <si>
    <t>УИК №1742</t>
  </si>
  <si>
    <t>УИК №1743</t>
  </si>
  <si>
    <t>УИК №1744</t>
  </si>
  <si>
    <t>УИК №1745</t>
  </si>
  <si>
    <t>УИК №1746</t>
  </si>
  <si>
    <t>УИК №1747</t>
  </si>
  <si>
    <t>УИК №1748</t>
  </si>
  <si>
    <t>УИК №1749</t>
  </si>
  <si>
    <t>УИК №1750</t>
  </si>
  <si>
    <t>УИК №1751</t>
  </si>
  <si>
    <t>УИК №1752</t>
  </si>
  <si>
    <t>УИК №1753</t>
  </si>
  <si>
    <t>УИК №1754</t>
  </si>
  <si>
    <t>УИК №1755</t>
  </si>
  <si>
    <t>УИК №1756</t>
  </si>
  <si>
    <t>УИК №1757</t>
  </si>
  <si>
    <t>УИК №1758</t>
  </si>
  <si>
    <t>УИК №1759</t>
  </si>
  <si>
    <t>УИК №1760</t>
  </si>
  <si>
    <t>УИК №1761</t>
  </si>
  <si>
    <t>УИК №1762</t>
  </si>
  <si>
    <t>УИК №1763</t>
  </si>
  <si>
    <t>УИК №1764</t>
  </si>
  <si>
    <t>УИК №1765</t>
  </si>
  <si>
    <t>УИК №1766</t>
  </si>
  <si>
    <t>УИК №1767</t>
  </si>
  <si>
    <t>УИК №1768</t>
  </si>
  <si>
    <t>УИК №1769</t>
  </si>
  <si>
    <t>УИК №1770</t>
  </si>
  <si>
    <t>УИК №1771</t>
  </si>
  <si>
    <t>УИК №1772</t>
  </si>
  <si>
    <t>УИК №1773</t>
  </si>
  <si>
    <t>УИК №1774</t>
  </si>
  <si>
    <t>УИК №1775</t>
  </si>
  <si>
    <t>УИК №1776</t>
  </si>
  <si>
    <t>УИК №1777</t>
  </si>
  <si>
    <t>УИК №1778</t>
  </si>
  <si>
    <t>УИК №1779</t>
  </si>
  <si>
    <t>УИК №1780</t>
  </si>
  <si>
    <t>УИК №1781</t>
  </si>
  <si>
    <t>УИК №1782</t>
  </si>
  <si>
    <t>УИК №1783</t>
  </si>
  <si>
    <t>УИК №1784</t>
  </si>
  <si>
    <t>УИК №1785</t>
  </si>
  <si>
    <t>УИК №1786</t>
  </si>
  <si>
    <t>УИК №1787</t>
  </si>
  <si>
    <t>УИК №1788</t>
  </si>
  <si>
    <t>УИК №1789</t>
  </si>
  <si>
    <t>УИК №1790</t>
  </si>
  <si>
    <t>УИК №1791</t>
  </si>
  <si>
    <t>УИК №1792</t>
  </si>
  <si>
    <t>УИК №1793</t>
  </si>
  <si>
    <t>УИК №1794</t>
  </si>
  <si>
    <t>УИК №1795</t>
  </si>
  <si>
    <t>УИК №1796</t>
  </si>
  <si>
    <t>УИК №1797</t>
  </si>
  <si>
    <t>УИК №1798</t>
  </si>
  <si>
    <t>УИК №1799</t>
  </si>
  <si>
    <t>УИК №1800</t>
  </si>
  <si>
    <t>УИК №1801</t>
  </si>
  <si>
    <t>УИК №1802</t>
  </si>
  <si>
    <t>УИК №1803</t>
  </si>
  <si>
    <t>УИК №1804</t>
  </si>
  <si>
    <t>УИК №1805</t>
  </si>
  <si>
    <t>УИК №1806</t>
  </si>
  <si>
    <t>УИК №1807</t>
  </si>
  <si>
    <t>УИК №1808</t>
  </si>
  <si>
    <t>УИК №1809</t>
  </si>
  <si>
    <t>УИК №1810</t>
  </si>
  <si>
    <t>УИК №1811</t>
  </si>
  <si>
    <t>УИК №1812</t>
  </si>
  <si>
    <t>УИК №1813</t>
  </si>
  <si>
    <t>УИК №1814</t>
  </si>
  <si>
    <t>УИК №1815</t>
  </si>
  <si>
    <t>УИК №1816</t>
  </si>
  <si>
    <t>УИК №1817</t>
  </si>
  <si>
    <t>УИК №1818</t>
  </si>
  <si>
    <t>УИК №1819</t>
  </si>
  <si>
    <t>УИК №1820</t>
  </si>
  <si>
    <t>УИК №1821</t>
  </si>
  <si>
    <t>УИК №1822</t>
  </si>
  <si>
    <t>УИК №1823</t>
  </si>
  <si>
    <t>УИК №1824</t>
  </si>
  <si>
    <t>УИК №1825</t>
  </si>
  <si>
    <t>УИК №1826</t>
  </si>
  <si>
    <t>УИК №1827</t>
  </si>
  <si>
    <t>УИК №1828</t>
  </si>
  <si>
    <t>УИК №3873</t>
  </si>
  <si>
    <t>УИК №3874</t>
  </si>
  <si>
    <t>УИК №3875</t>
  </si>
  <si>
    <t>УИК №3876</t>
  </si>
  <si>
    <t>УИК №3877</t>
  </si>
  <si>
    <t>УИК №3878</t>
  </si>
  <si>
    <t>УИК №3879</t>
  </si>
  <si>
    <t>УИК №3880</t>
  </si>
  <si>
    <t>УИК №3881</t>
  </si>
  <si>
    <t>УИК №3882</t>
  </si>
  <si>
    <t>УИК №3883</t>
  </si>
  <si>
    <t>УИК №3884</t>
  </si>
  <si>
    <t>УИК №3885</t>
  </si>
  <si>
    <t>УИК №4243</t>
  </si>
  <si>
    <t>УИК №4250</t>
  </si>
  <si>
    <t>УИК №4251</t>
  </si>
  <si>
    <t>УИК №4252</t>
  </si>
  <si>
    <t>ОИК №13</t>
  </si>
  <si>
    <t>http://www.vybory.izbirkom.ru/region/izbirkom?action=show&amp;root=502000048&amp;tvd=25020003103151&amp;vrn=25020003103095&amp;prver=0&amp;pronetvd=null&amp;region=50&amp;sub_region=50</t>
  </si>
  <si>
    <t>http://www.vybory.izbirkom.ru/region/izbirkom?action=show&amp;root=1000161&amp;tvd=25020003107352&amp;vrn=100100225883172&amp;prver=0&amp;pronetvd=null&amp;region=50&amp;sub_region=50</t>
  </si>
  <si>
    <t>Сукязян Артур Вадимович</t>
  </si>
  <si>
    <t>Сукязян (Экол. зеленые)</t>
  </si>
  <si>
    <t>Вавилов Игорь Васильевич</t>
  </si>
  <si>
    <t>Вавилов (КПРФ)</t>
  </si>
  <si>
    <t>Дорогих Иван Михайлович</t>
  </si>
  <si>
    <t>Дорогих (Пенсионеров)</t>
  </si>
  <si>
    <t>Марушкин Олег Генадиевич</t>
  </si>
  <si>
    <t>Марушкин (СР)</t>
  </si>
  <si>
    <t>Павлова Татьяна Михайловна</t>
  </si>
  <si>
    <t>Павлова (Яблоко)</t>
  </si>
  <si>
    <t>Рожнов Олег Александрович</t>
  </si>
  <si>
    <t>Рожнов (Единая Россия)</t>
  </si>
  <si>
    <t>Вброс</t>
  </si>
  <si>
    <t>Перекладывание</t>
  </si>
  <si>
    <t>Оценка числа бюллетеней, сфальсифицированных в пользу ЕР</t>
  </si>
  <si>
    <t>Вручную задано: ЕР без фальсификаций (%)</t>
  </si>
  <si>
    <t>Вручную задано: Майданов (ЕР) без фальсификаций (%)</t>
  </si>
  <si>
    <t>Вручную задано: Рожнов (ЕР) без фальсификаций (%)</t>
  </si>
  <si>
    <t>Наро-Фоминск</t>
  </si>
  <si>
    <t>Ивановка</t>
  </si>
  <si>
    <t>Бекасово</t>
  </si>
  <si>
    <t>Апрелевка</t>
  </si>
  <si>
    <t>Верея</t>
  </si>
  <si>
    <t>Симбухово</t>
  </si>
  <si>
    <t>Рождествено</t>
  </si>
  <si>
    <t>Калининец</t>
  </si>
  <si>
    <t>Петровское</t>
  </si>
  <si>
    <t>Селятино</t>
  </si>
  <si>
    <t>Алабино</t>
  </si>
  <si>
    <t>Софьино</t>
  </si>
  <si>
    <t>Атепцево</t>
  </si>
  <si>
    <t>Новая Ольховка</t>
  </si>
  <si>
    <t>Каменское</t>
  </si>
  <si>
    <t>Веселево</t>
  </si>
  <si>
    <t>Шустиково</t>
  </si>
  <si>
    <t>Волчёнки</t>
  </si>
  <si>
    <t>Устье</t>
  </si>
  <si>
    <t>пос. свх. Архангельский</t>
  </si>
  <si>
    <t>Таширово</t>
  </si>
  <si>
    <t>Васильчиново</t>
  </si>
  <si>
    <t>Головково</t>
  </si>
  <si>
    <t>Наро-Фоминск рай. больн.</t>
  </si>
  <si>
    <t>Каменское обл. психбольн.</t>
  </si>
  <si>
    <t>Наро-Фоминск роддом</t>
  </si>
  <si>
    <t>Александровка псих. интернат</t>
  </si>
  <si>
    <t>Одинцово КПРФ</t>
  </si>
  <si>
    <t>Зона ответственности в сен. 2022 г.</t>
  </si>
  <si>
    <t>Ф. дума партии</t>
  </si>
  <si>
    <t>Ф. мособлдума партии</t>
  </si>
  <si>
    <t>Ф. дума одномандатный</t>
  </si>
  <si>
    <t>Ф. мособлдума одномандатный</t>
  </si>
  <si>
    <t>Ф. наборов бюллетеней</t>
  </si>
  <si>
    <t>Избирателей в списках</t>
  </si>
  <si>
    <t>Председатель УИК</t>
  </si>
  <si>
    <t>Форостович-Резник Инна Евгеньевна</t>
  </si>
  <si>
    <t>Суяркина Анжела Сергеевна</t>
  </si>
  <si>
    <t>юрист ТУ Калининец администрации Наро-Фоминского г.о.</t>
  </si>
  <si>
    <t>Павлов Константин Евгеньевич от ЕР</t>
  </si>
  <si>
    <t>директор культурно-спортивного комплекса «Нара»</t>
  </si>
  <si>
    <t>Андриевская Любовь Александровна</t>
  </si>
  <si>
    <t>Радашкевич Нина Георгиевна</t>
  </si>
  <si>
    <t>в/ч 23626</t>
  </si>
  <si>
    <t>Воронина Нина Степановна</t>
  </si>
  <si>
    <t>зам. директора Назарьевской школы</t>
  </si>
  <si>
    <t>Семенова Александра Александровна от ЕР</t>
  </si>
  <si>
    <t>зам. директора детсада №13 Наро-Фоминска</t>
  </si>
  <si>
    <t>Грязнева Ольга Ивановна от ЕР</t>
  </si>
  <si>
    <t>ИП в сфере торговли в Калининце</t>
  </si>
  <si>
    <t>Власов Николай Иванович</t>
  </si>
  <si>
    <t>Кем работает полный тёзка председателя</t>
  </si>
  <si>
    <t>Фомичева Елена Анатольевна от КПРФ</t>
  </si>
  <si>
    <t>Фокша Светлана Николаевна</t>
  </si>
  <si>
    <t>Алдошин Виктор Константинович от ЕР</t>
  </si>
  <si>
    <t>Воробьева Дарья Владимировна от КПРФ</t>
  </si>
  <si>
    <t>Логунова Наталия Анатольевна от ЕР</t>
  </si>
  <si>
    <t>руководитель библиотеки в дворце культуры и спорта «Тамань»</t>
  </si>
  <si>
    <t>Попова Елена Валентиновна от ЕР</t>
  </si>
  <si>
    <t>Бурыгина Татьяна Васильевна</t>
  </si>
  <si>
    <t>Михайлова Анна Александровна от ЕР</t>
  </si>
  <si>
    <t>заведующая детсада №43 Апрелевки</t>
  </si>
  <si>
    <t>главный эксперт ТУ Калининец администрации Наро-Фоминского г.о.</t>
  </si>
  <si>
    <t>главный эксперт ТУ Наро-Фоминск администрации Наро-Фоминского г.о.</t>
  </si>
  <si>
    <t>учитель школы №4 Наро-Фоминска</t>
  </si>
  <si>
    <t>зам. директора школы №1 Апрелевки</t>
  </si>
  <si>
    <t>зам. директора школы №9 Наро-Фоминска</t>
  </si>
  <si>
    <t>учитель школы №1 Апрелевки</t>
  </si>
  <si>
    <t>делопроизводитель спортивной школы №3 «Мелодия» Апрелевки</t>
  </si>
  <si>
    <t>Макс. размер кружка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</si>
</sst>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sz val="11"/>
      <color theme="1"/>
      <name val="Calibri"/>
      <family val="2"/>
      <charset val="204"/>
      <scheme val="minor"/>
    </font>
    <font>
      <sz val="8"/>
      <name val="Calibri"/>
      <family val="2"/>
      <scheme val="minor"/>
    </font>
    <font>
      <sz val="11"/>
      <color rgb="FF777777"/>
      <name val="Calibri"/>
      <family val="2"/>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2">
    <xf numFmtId="0" fontId="0" fillId="0" borderId="0" xfId="0"/>
    <xf numFmtId="0" fontId="0" fillId="0" borderId="0" xfId="0" applyFill="1"/>
    <xf numFmtId="0" fontId="2" fillId="0" borderId="0" xfId="0" applyFont="1" applyFill="1"/>
    <xf numFmtId="164" fontId="0" fillId="0" borderId="0" xfId="0" applyNumberFormat="1" applyFill="1"/>
    <xf numFmtId="0" fontId="1" fillId="0" borderId="1" xfId="0" applyFont="1" applyFill="1" applyBorder="1" applyAlignment="1">
      <alignment horizontal="center" vertical="top"/>
    </xf>
    <xf numFmtId="0" fontId="2" fillId="0" borderId="1" xfId="0" applyFont="1" applyFill="1" applyBorder="1" applyAlignment="1">
      <alignment horizontal="left" vertical="top"/>
    </xf>
    <xf numFmtId="0" fontId="2" fillId="0" borderId="1" xfId="0" applyFont="1" applyFill="1" applyBorder="1" applyAlignment="1">
      <alignment horizontal="center" vertical="top"/>
    </xf>
    <xf numFmtId="164" fontId="0" fillId="0" borderId="0" xfId="0" applyNumberFormat="1" applyFill="1" applyAlignment="1">
      <alignment horizontal="left"/>
    </xf>
    <xf numFmtId="164" fontId="2" fillId="0" borderId="1" xfId="0" applyNumberFormat="1" applyFont="1" applyFill="1" applyBorder="1" applyAlignment="1">
      <alignment horizontal="left" vertical="top"/>
    </xf>
    <xf numFmtId="0" fontId="2" fillId="0" borderId="2" xfId="0" applyFont="1" applyFill="1" applyBorder="1" applyAlignment="1">
      <alignment horizontal="center" vertical="top"/>
    </xf>
    <xf numFmtId="0" fontId="0" fillId="0" borderId="0" xfId="0" applyNumberFormat="1" applyFill="1"/>
    <xf numFmtId="164" fontId="4" fillId="0" borderId="0" xfId="0" applyNumberFormat="1" applyFont="1" applyFill="1"/>
    <xf numFmtId="164" fontId="5" fillId="0" borderId="0" xfId="0" applyNumberFormat="1" applyFont="1" applyFill="1"/>
    <xf numFmtId="1" fontId="0" fillId="0" borderId="0" xfId="0" applyNumberFormat="1" applyFill="1"/>
    <xf numFmtId="1" fontId="2" fillId="0" borderId="2" xfId="0" applyNumberFormat="1" applyFont="1" applyFill="1" applyBorder="1" applyAlignment="1">
      <alignment horizontal="left" vertical="top"/>
    </xf>
    <xf numFmtId="0" fontId="2" fillId="0" borderId="2" xfId="0" applyFont="1" applyFill="1" applyBorder="1" applyAlignment="1">
      <alignment horizontal="left" vertical="top"/>
    </xf>
    <xf numFmtId="0" fontId="2" fillId="0" borderId="1" xfId="0" applyFont="1" applyFill="1" applyBorder="1" applyAlignment="1">
      <alignment vertical="top"/>
    </xf>
    <xf numFmtId="0" fontId="2" fillId="0" borderId="2" xfId="0" applyFont="1" applyFill="1" applyBorder="1" applyAlignment="1">
      <alignment vertical="top"/>
    </xf>
    <xf numFmtId="1" fontId="2" fillId="0" borderId="2" xfId="0" applyNumberFormat="1" applyFont="1" applyFill="1" applyBorder="1" applyAlignment="1">
      <alignment vertical="top"/>
    </xf>
    <xf numFmtId="1" fontId="5" fillId="0" borderId="2" xfId="0" applyNumberFormat="1" applyFont="1" applyFill="1" applyBorder="1" applyAlignment="1">
      <alignment vertical="top"/>
    </xf>
    <xf numFmtId="0" fontId="2" fillId="0" borderId="0" xfId="0" applyFont="1" applyFill="1" applyAlignment="1"/>
    <xf numFmtId="1" fontId="5" fillId="0" borderId="0" xfId="0" applyNumberFormat="1" applyFont="1" applyFill="1"/>
  </cellXfs>
  <cellStyles count="1">
    <cellStyle name="Normal" xfId="0" builtinId="0"/>
  </cellStyles>
  <dxfs count="439">
    <dxf>
      <fill>
        <patternFill patternType="none">
          <fgColor indexed="64"/>
          <bgColor indexed="65"/>
        </patternFill>
      </fill>
    </dxf>
    <dxf>
      <numFmt numFmtId="1" formatCode="0"/>
      <fill>
        <patternFill patternType="none">
          <fgColor rgb="FF000000"/>
          <bgColor auto="1"/>
        </patternFill>
      </fill>
    </dxf>
    <dxf>
      <fill>
        <patternFill patternType="none">
          <fgColor indexed="64"/>
          <bgColor indexed="65"/>
        </patternFill>
      </fill>
    </dxf>
    <dxf>
      <numFmt numFmtId="1" formatCode="0"/>
      <fill>
        <patternFill patternType="none">
          <fgColor rgb="FF000000"/>
          <bgColor auto="1"/>
        </patternFill>
      </fill>
    </dxf>
    <dxf>
      <font>
        <b/>
        <i val="0"/>
        <strike val="0"/>
        <condense val="0"/>
        <extend val="0"/>
        <outline val="0"/>
        <shadow val="0"/>
        <u val="none"/>
        <vertAlign val="baseline"/>
        <sz val="11"/>
        <color theme="1"/>
        <name val="Calibri"/>
        <family val="2"/>
        <charset val="204"/>
        <scheme val="minor"/>
      </font>
      <numFmt numFmtId="1" formatCode="0"/>
      <fill>
        <patternFill patternType="none">
          <fgColor indexed="64"/>
          <bgColor indexed="65"/>
        </patternFill>
      </fill>
    </dxf>
    <dxf>
      <font>
        <b/>
        <charset val="204"/>
      </font>
      <numFmt numFmtId="1" formatCode="0"/>
      <fill>
        <patternFill patternType="none">
          <fgColor rgb="FF000000"/>
          <bgColor auto="1"/>
        </patternFill>
      </fill>
    </dxf>
    <dxf>
      <numFmt numFmtId="1" formatCode="0"/>
      <fill>
        <patternFill patternType="none">
          <fgColor indexed="64"/>
          <bgColor indexed="65"/>
        </patternFill>
      </fill>
    </dxf>
    <dxf>
      <numFmt numFmtId="1" formatCode="0"/>
      <fill>
        <patternFill patternType="none">
          <fgColor rgb="FF000000"/>
          <bgColor auto="1"/>
        </patternFill>
      </fill>
    </dxf>
    <dxf>
      <numFmt numFmtId="1" formatCode="0"/>
      <fill>
        <patternFill patternType="none">
          <fgColor indexed="64"/>
          <bgColor indexed="65"/>
        </patternFill>
      </fill>
    </dxf>
    <dxf>
      <numFmt numFmtId="1" formatCode="0"/>
      <fill>
        <patternFill patternType="none">
          <fgColor rgb="FF000000"/>
          <bgColor auto="1"/>
        </patternFill>
      </fill>
    </dxf>
    <dxf>
      <numFmt numFmtId="1" formatCode="0"/>
      <fill>
        <patternFill patternType="none">
          <fgColor indexed="64"/>
          <bgColor indexed="65"/>
        </patternFill>
      </fill>
    </dxf>
    <dxf>
      <numFmt numFmtId="1" formatCode="0"/>
      <fill>
        <patternFill patternType="none">
          <fgColor rgb="FF000000"/>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theme="1"/>
        <name val="Calibri"/>
        <family val="2"/>
        <charset val="204"/>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bottom/>
      </border>
    </dxf>
  </dxfs>
  <tableStyles count="0" defaultPivotStyle="PivotStyleLight16"/>
  <colors>
    <mruColors>
      <color rgb="FF000000"/>
      <color rgb="FF0000FF"/>
      <color rgb="FF777777"/>
      <color rgb="FFFF9900"/>
      <color rgb="FFFF33CC"/>
      <color rgb="FFFF66FF"/>
      <color rgb="FFCC00CC"/>
      <color rgb="FFFF00FF"/>
      <color rgb="FF6666FF"/>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microsoft.com/office/2007/relationships/slicerCache" Target="slicerCaches/slicerCache8.xml"/><Relationship Id="rId3" Type="http://schemas.openxmlformats.org/officeDocument/2006/relationships/worksheet" Target="worksheets/sheet3.xml"/><Relationship Id="rId7" Type="http://schemas.microsoft.com/office/2007/relationships/slicerCache" Target="slicerCaches/slicerCache2.xml"/><Relationship Id="rId12" Type="http://schemas.microsoft.com/office/2007/relationships/slicerCache" Target="slicerCaches/slicerCache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5.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'Дума партии'!$AA$1</c:f>
              <c:strCache>
                <c:ptCount val="1"/>
                <c:pt idx="0">
                  <c:v>КПРФ</c:v>
                </c:pt>
              </c:strCache>
            </c:strRef>
          </c:tx>
          <c:spPr>
            <a:solidFill>
              <a:srgbClr val="FF0000">
                <a:alpha val="50000"/>
              </a:srgbClr>
            </a:solidFill>
            <a:ln w="25400">
              <a:noFill/>
            </a:ln>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партии'!$AA$2:$AA$113</c:f>
              <c:numCache>
                <c:formatCode>0.0</c:formatCode>
                <c:ptCount val="112"/>
                <c:pt idx="0">
                  <c:v>31.785714285714285</c:v>
                </c:pt>
                <c:pt idx="1">
                  <c:v>22.075471698113208</c:v>
                </c:pt>
                <c:pt idx="2">
                  <c:v>11.512415349887133</c:v>
                </c:pt>
                <c:pt idx="3">
                  <c:v>20</c:v>
                </c:pt>
                <c:pt idx="4">
                  <c:v>9.3117408906882595</c:v>
                </c:pt>
                <c:pt idx="5">
                  <c:v>22.569444444444443</c:v>
                </c:pt>
                <c:pt idx="6">
                  <c:v>25.35211267605634</c:v>
                </c:pt>
                <c:pt idx="7">
                  <c:v>24.782608695652176</c:v>
                </c:pt>
                <c:pt idx="8">
                  <c:v>22.338568935427574</c:v>
                </c:pt>
                <c:pt idx="9">
                  <c:v>20.041753653444676</c:v>
                </c:pt>
                <c:pt idx="10">
                  <c:v>23.367697594501717</c:v>
                </c:pt>
                <c:pt idx="11">
                  <c:v>21.303258145363408</c:v>
                </c:pt>
                <c:pt idx="12">
                  <c:v>27.118644067796609</c:v>
                </c:pt>
                <c:pt idx="13">
                  <c:v>21.284403669724771</c:v>
                </c:pt>
                <c:pt idx="14">
                  <c:v>13.086419753086419</c:v>
                </c:pt>
                <c:pt idx="15">
                  <c:v>21.153846153846153</c:v>
                </c:pt>
                <c:pt idx="16">
                  <c:v>23.429951690821255</c:v>
                </c:pt>
                <c:pt idx="17">
                  <c:v>11.637080867850099</c:v>
                </c:pt>
                <c:pt idx="18">
                  <c:v>17.857142857142858</c:v>
                </c:pt>
                <c:pt idx="19">
                  <c:v>25.86466165413534</c:v>
                </c:pt>
                <c:pt idx="20">
                  <c:v>23.302469135802468</c:v>
                </c:pt>
                <c:pt idx="21">
                  <c:v>14.836223506743737</c:v>
                </c:pt>
                <c:pt idx="22">
                  <c:v>9.2436974789915958</c:v>
                </c:pt>
                <c:pt idx="23">
                  <c:v>4.3918918918918921</c:v>
                </c:pt>
                <c:pt idx="24">
                  <c:v>23.373493975903614</c:v>
                </c:pt>
                <c:pt idx="25">
                  <c:v>15.267175572519085</c:v>
                </c:pt>
                <c:pt idx="26">
                  <c:v>9.6836668818592635</c:v>
                </c:pt>
                <c:pt idx="27">
                  <c:v>9.460737937559129</c:v>
                </c:pt>
                <c:pt idx="28">
                  <c:v>14.780835881753314</c:v>
                </c:pt>
                <c:pt idx="29">
                  <c:v>23.076923076923077</c:v>
                </c:pt>
                <c:pt idx="30">
                  <c:v>13.527851458885941</c:v>
                </c:pt>
                <c:pt idx="31">
                  <c:v>20.342612419700213</c:v>
                </c:pt>
                <c:pt idx="32">
                  <c:v>4.0760869565217392</c:v>
                </c:pt>
                <c:pt idx="33">
                  <c:v>18.441971383147855</c:v>
                </c:pt>
                <c:pt idx="34">
                  <c:v>22.164276401564535</c:v>
                </c:pt>
                <c:pt idx="35">
                  <c:v>14.347826086956522</c:v>
                </c:pt>
                <c:pt idx="36">
                  <c:v>14.765100671140939</c:v>
                </c:pt>
                <c:pt idx="37">
                  <c:v>15.041322314049587</c:v>
                </c:pt>
                <c:pt idx="38">
                  <c:v>12.016021361815755</c:v>
                </c:pt>
                <c:pt idx="39">
                  <c:v>21.042471042471043</c:v>
                </c:pt>
                <c:pt idx="40">
                  <c:v>15.324384787472036</c:v>
                </c:pt>
                <c:pt idx="41">
                  <c:v>27.714285714285715</c:v>
                </c:pt>
                <c:pt idx="42">
                  <c:v>19.011976047904191</c:v>
                </c:pt>
                <c:pt idx="43">
                  <c:v>19.287833827893174</c:v>
                </c:pt>
                <c:pt idx="44">
                  <c:v>17.400881057268723</c:v>
                </c:pt>
                <c:pt idx="45">
                  <c:v>20.80745341614907</c:v>
                </c:pt>
                <c:pt idx="46">
                  <c:v>22.920892494929006</c:v>
                </c:pt>
                <c:pt idx="47">
                  <c:v>16.439522998296422</c:v>
                </c:pt>
                <c:pt idx="48">
                  <c:v>28.419182948490231</c:v>
                </c:pt>
                <c:pt idx="49">
                  <c:v>27.886710239651418</c:v>
                </c:pt>
                <c:pt idx="50">
                  <c:v>32.692307692307693</c:v>
                </c:pt>
                <c:pt idx="51">
                  <c:v>35.483870967741936</c:v>
                </c:pt>
                <c:pt idx="52">
                  <c:v>36.885245901639344</c:v>
                </c:pt>
                <c:pt idx="53">
                  <c:v>24.2</c:v>
                </c:pt>
                <c:pt idx="54">
                  <c:v>23.32155477031802</c:v>
                </c:pt>
                <c:pt idx="55">
                  <c:v>18.850987432675044</c:v>
                </c:pt>
                <c:pt idx="56">
                  <c:v>12.878133102852203</c:v>
                </c:pt>
                <c:pt idx="57">
                  <c:v>15.249472944483486</c:v>
                </c:pt>
                <c:pt idx="58">
                  <c:v>14.43530291697831</c:v>
                </c:pt>
                <c:pt idx="59">
                  <c:v>20.64516129032258</c:v>
                </c:pt>
                <c:pt idx="60">
                  <c:v>26.448362720403022</c:v>
                </c:pt>
                <c:pt idx="61">
                  <c:v>18.417047184170471</c:v>
                </c:pt>
                <c:pt idx="62">
                  <c:v>29.900990099009903</c:v>
                </c:pt>
                <c:pt idx="63">
                  <c:v>31.472081218274113</c:v>
                </c:pt>
                <c:pt idx="64">
                  <c:v>27.272727272727273</c:v>
                </c:pt>
                <c:pt idx="65">
                  <c:v>25</c:v>
                </c:pt>
                <c:pt idx="66">
                  <c:v>34.663865546218489</c:v>
                </c:pt>
                <c:pt idx="67">
                  <c:v>30.424528301886792</c:v>
                </c:pt>
                <c:pt idx="68">
                  <c:v>26.896551724137932</c:v>
                </c:pt>
                <c:pt idx="69">
                  <c:v>33.130699088145896</c:v>
                </c:pt>
                <c:pt idx="70">
                  <c:v>39.333333333333336</c:v>
                </c:pt>
                <c:pt idx="71">
                  <c:v>25.035971223021583</c:v>
                </c:pt>
                <c:pt idx="72">
                  <c:v>8.454106280193237</c:v>
                </c:pt>
                <c:pt idx="73">
                  <c:v>18.125</c:v>
                </c:pt>
                <c:pt idx="74">
                  <c:v>20.527859237536656</c:v>
                </c:pt>
                <c:pt idx="75">
                  <c:v>18.767507002801121</c:v>
                </c:pt>
                <c:pt idx="76">
                  <c:v>17.959770114942529</c:v>
                </c:pt>
                <c:pt idx="77">
                  <c:v>19.35483870967742</c:v>
                </c:pt>
                <c:pt idx="78">
                  <c:v>18.996960486322187</c:v>
                </c:pt>
                <c:pt idx="79">
                  <c:v>14.327485380116959</c:v>
                </c:pt>
                <c:pt idx="80">
                  <c:v>29.62962962962963</c:v>
                </c:pt>
                <c:pt idx="81">
                  <c:v>10.843373493975903</c:v>
                </c:pt>
                <c:pt idx="82">
                  <c:v>9.7276264591439681</c:v>
                </c:pt>
                <c:pt idx="83">
                  <c:v>23.520923520923521</c:v>
                </c:pt>
                <c:pt idx="84">
                  <c:v>19.504643962848299</c:v>
                </c:pt>
                <c:pt idx="85">
                  <c:v>20.677966101694917</c:v>
                </c:pt>
                <c:pt idx="86">
                  <c:v>20.063694267515924</c:v>
                </c:pt>
                <c:pt idx="87">
                  <c:v>28.256880733944953</c:v>
                </c:pt>
                <c:pt idx="88">
                  <c:v>18.441558441558442</c:v>
                </c:pt>
                <c:pt idx="89">
                  <c:v>20.689655172413794</c:v>
                </c:pt>
                <c:pt idx="90">
                  <c:v>24.867724867724867</c:v>
                </c:pt>
                <c:pt idx="91">
                  <c:v>15.220483641536273</c:v>
                </c:pt>
                <c:pt idx="92">
                  <c:v>19.962335216572505</c:v>
                </c:pt>
                <c:pt idx="93">
                  <c:v>12.866817155756207</c:v>
                </c:pt>
                <c:pt idx="94">
                  <c:v>25.714285714285715</c:v>
                </c:pt>
                <c:pt idx="95">
                  <c:v>30</c:v>
                </c:pt>
                <c:pt idx="96">
                  <c:v>11.269349845201239</c:v>
                </c:pt>
                <c:pt idx="97">
                  <c:v>15.625</c:v>
                </c:pt>
                <c:pt idx="98">
                  <c:v>10.398613518197573</c:v>
                </c:pt>
                <c:pt idx="99">
                  <c:v>27.021276595744681</c:v>
                </c:pt>
                <c:pt idx="100">
                  <c:v>3.2407407407407409</c:v>
                </c:pt>
                <c:pt idx="101">
                  <c:v>1.6853932584269662</c:v>
                </c:pt>
                <c:pt idx="102">
                  <c:v>9.6938775510204085</c:v>
                </c:pt>
                <c:pt idx="103">
                  <c:v>16.460905349794238</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0-36CE-4AFB-9313-7A7B86C5B0D3}"/>
            </c:ext>
          </c:extLst>
        </c:ser>
        <c:ser>
          <c:idx val="9"/>
          <c:order val="1"/>
          <c:tx>
            <c:strRef>
              <c:f>'Дума партии'!$AC$1</c:f>
              <c:strCache>
                <c:ptCount val="1"/>
                <c:pt idx="0">
                  <c:v>Экол. зеленые</c:v>
                </c:pt>
              </c:strCache>
            </c:strRef>
          </c:tx>
          <c:spPr>
            <a:solidFill>
              <a:srgbClr val="66FF66">
                <a:alpha val="49804"/>
              </a:srgbClr>
            </a:solidFill>
            <a:ln w="25400"/>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партии'!$AC$2:$AC$113</c:f>
              <c:numCache>
                <c:formatCode>0.0</c:formatCode>
                <c:ptCount val="112"/>
                <c:pt idx="0">
                  <c:v>1.0714285714285714</c:v>
                </c:pt>
                <c:pt idx="1">
                  <c:v>1.320754716981132</c:v>
                </c:pt>
                <c:pt idx="2">
                  <c:v>0.90293453724604966</c:v>
                </c:pt>
                <c:pt idx="3">
                  <c:v>0.81300813008130079</c:v>
                </c:pt>
                <c:pt idx="4">
                  <c:v>1.8218623481781377</c:v>
                </c:pt>
                <c:pt idx="5">
                  <c:v>0.69444444444444442</c:v>
                </c:pt>
                <c:pt idx="6">
                  <c:v>1.6096579476861168</c:v>
                </c:pt>
                <c:pt idx="7">
                  <c:v>0.43478260869565216</c:v>
                </c:pt>
                <c:pt idx="8">
                  <c:v>1.7452006980802792</c:v>
                </c:pt>
                <c:pt idx="9">
                  <c:v>0.62630480167014613</c:v>
                </c:pt>
                <c:pt idx="10">
                  <c:v>1.7182130584192439</c:v>
                </c:pt>
                <c:pt idx="11">
                  <c:v>1.0025062656641603</c:v>
                </c:pt>
                <c:pt idx="12">
                  <c:v>0.84745762711864403</c:v>
                </c:pt>
                <c:pt idx="13">
                  <c:v>0.3669724770642202</c:v>
                </c:pt>
                <c:pt idx="14">
                  <c:v>1.4814814814814814</c:v>
                </c:pt>
                <c:pt idx="15">
                  <c:v>2.1367521367521367</c:v>
                </c:pt>
                <c:pt idx="16">
                  <c:v>1.2077294685990339</c:v>
                </c:pt>
                <c:pt idx="17">
                  <c:v>0.39447731755424065</c:v>
                </c:pt>
                <c:pt idx="18">
                  <c:v>1.1904761904761905</c:v>
                </c:pt>
                <c:pt idx="19">
                  <c:v>2.255639097744361</c:v>
                </c:pt>
                <c:pt idx="20">
                  <c:v>1.0802469135802468</c:v>
                </c:pt>
                <c:pt idx="21">
                  <c:v>0.5780346820809249</c:v>
                </c:pt>
                <c:pt idx="22">
                  <c:v>0</c:v>
                </c:pt>
                <c:pt idx="23">
                  <c:v>0</c:v>
                </c:pt>
                <c:pt idx="24">
                  <c:v>0.48192771084337349</c:v>
                </c:pt>
                <c:pt idx="25">
                  <c:v>1.9430950728660652</c:v>
                </c:pt>
                <c:pt idx="26">
                  <c:v>0.71013557133634608</c:v>
                </c:pt>
                <c:pt idx="27">
                  <c:v>1.2298959318826868</c:v>
                </c:pt>
                <c:pt idx="28">
                  <c:v>1.3251783893985729</c:v>
                </c:pt>
                <c:pt idx="29">
                  <c:v>2.9411764705882355</c:v>
                </c:pt>
                <c:pt idx="30">
                  <c:v>1.4588859416445623</c:v>
                </c:pt>
                <c:pt idx="31">
                  <c:v>2.78372591006424</c:v>
                </c:pt>
                <c:pt idx="32">
                  <c:v>1.3586956521739131</c:v>
                </c:pt>
                <c:pt idx="33">
                  <c:v>0.63593004769475359</c:v>
                </c:pt>
                <c:pt idx="34">
                  <c:v>0.91264667535853972</c:v>
                </c:pt>
                <c:pt idx="35">
                  <c:v>1.1594202898550725</c:v>
                </c:pt>
                <c:pt idx="36">
                  <c:v>1.0067114093959733</c:v>
                </c:pt>
                <c:pt idx="37">
                  <c:v>0.82644628099173556</c:v>
                </c:pt>
                <c:pt idx="38">
                  <c:v>1.2016021361815754</c:v>
                </c:pt>
                <c:pt idx="39">
                  <c:v>1.1583011583011582</c:v>
                </c:pt>
                <c:pt idx="40">
                  <c:v>1.5659955257270695</c:v>
                </c:pt>
                <c:pt idx="41">
                  <c:v>1.1428571428571428</c:v>
                </c:pt>
                <c:pt idx="42">
                  <c:v>1.347305389221557</c:v>
                </c:pt>
                <c:pt idx="43">
                  <c:v>0.89020771513353114</c:v>
                </c:pt>
                <c:pt idx="44">
                  <c:v>2.643171806167401</c:v>
                </c:pt>
                <c:pt idx="45">
                  <c:v>1.0869565217391304</c:v>
                </c:pt>
                <c:pt idx="46">
                  <c:v>2.6369168356997972</c:v>
                </c:pt>
                <c:pt idx="47">
                  <c:v>2.2998296422487221</c:v>
                </c:pt>
                <c:pt idx="48">
                  <c:v>1.0657193605683837</c:v>
                </c:pt>
                <c:pt idx="49">
                  <c:v>0.4357298474945534</c:v>
                </c:pt>
                <c:pt idx="50">
                  <c:v>0</c:v>
                </c:pt>
                <c:pt idx="51">
                  <c:v>2.150537634408602</c:v>
                </c:pt>
                <c:pt idx="52">
                  <c:v>0</c:v>
                </c:pt>
                <c:pt idx="53">
                  <c:v>1.2</c:v>
                </c:pt>
                <c:pt idx="54">
                  <c:v>1.4134275618374559</c:v>
                </c:pt>
                <c:pt idx="55">
                  <c:v>1.9748653500897666</c:v>
                </c:pt>
                <c:pt idx="56">
                  <c:v>1.7286084701815039</c:v>
                </c:pt>
                <c:pt idx="57">
                  <c:v>1.3352073085031624</c:v>
                </c:pt>
                <c:pt idx="58">
                  <c:v>1.0471204188481675</c:v>
                </c:pt>
                <c:pt idx="59">
                  <c:v>1.075268817204301</c:v>
                </c:pt>
                <c:pt idx="60">
                  <c:v>1.5113350125944585</c:v>
                </c:pt>
                <c:pt idx="61">
                  <c:v>0.45662100456621002</c:v>
                </c:pt>
                <c:pt idx="62">
                  <c:v>2.1782178217821784</c:v>
                </c:pt>
                <c:pt idx="63">
                  <c:v>0.76142131979695427</c:v>
                </c:pt>
                <c:pt idx="64">
                  <c:v>2.6262626262626263</c:v>
                </c:pt>
                <c:pt idx="65">
                  <c:v>2.3109243697478989</c:v>
                </c:pt>
                <c:pt idx="66">
                  <c:v>0.42016806722689076</c:v>
                </c:pt>
                <c:pt idx="67">
                  <c:v>1.6509433962264151</c:v>
                </c:pt>
                <c:pt idx="68">
                  <c:v>1.6091954022988506</c:v>
                </c:pt>
                <c:pt idx="69">
                  <c:v>1.5197568389057752</c:v>
                </c:pt>
                <c:pt idx="70">
                  <c:v>0.66666666666666663</c:v>
                </c:pt>
                <c:pt idx="71">
                  <c:v>1.1510791366906474</c:v>
                </c:pt>
                <c:pt idx="72">
                  <c:v>0.48309178743961351</c:v>
                </c:pt>
                <c:pt idx="73">
                  <c:v>1.40625</c:v>
                </c:pt>
                <c:pt idx="74">
                  <c:v>1.1730205278592376</c:v>
                </c:pt>
                <c:pt idx="75">
                  <c:v>0.84033613445378152</c:v>
                </c:pt>
                <c:pt idx="76">
                  <c:v>0.28735632183908044</c:v>
                </c:pt>
                <c:pt idx="77">
                  <c:v>0.92165898617511521</c:v>
                </c:pt>
                <c:pt idx="78">
                  <c:v>0.75987841945288759</c:v>
                </c:pt>
                <c:pt idx="79">
                  <c:v>0.29239766081871343</c:v>
                </c:pt>
                <c:pt idx="80">
                  <c:v>0.24691358024691357</c:v>
                </c:pt>
                <c:pt idx="81">
                  <c:v>0.60240963855421692</c:v>
                </c:pt>
                <c:pt idx="82">
                  <c:v>0.19455252918287938</c:v>
                </c:pt>
                <c:pt idx="83">
                  <c:v>2.0202020202020203</c:v>
                </c:pt>
                <c:pt idx="84">
                  <c:v>0.77399380804953566</c:v>
                </c:pt>
                <c:pt idx="85">
                  <c:v>1.0169491525423728</c:v>
                </c:pt>
                <c:pt idx="86">
                  <c:v>0.79617834394904463</c:v>
                </c:pt>
                <c:pt idx="87">
                  <c:v>1.6513761467889909</c:v>
                </c:pt>
                <c:pt idx="88">
                  <c:v>0</c:v>
                </c:pt>
                <c:pt idx="89">
                  <c:v>1.3262599469496021</c:v>
                </c:pt>
                <c:pt idx="90">
                  <c:v>1.8518518518518519</c:v>
                </c:pt>
                <c:pt idx="91">
                  <c:v>1.4224751066856329</c:v>
                </c:pt>
                <c:pt idx="92">
                  <c:v>1.6949152542372881</c:v>
                </c:pt>
                <c:pt idx="93">
                  <c:v>0.90293453724604966</c:v>
                </c:pt>
                <c:pt idx="94">
                  <c:v>0.7142857142857143</c:v>
                </c:pt>
                <c:pt idx="95">
                  <c:v>0.68181818181818177</c:v>
                </c:pt>
                <c:pt idx="96">
                  <c:v>1.2383900928792571</c:v>
                </c:pt>
                <c:pt idx="97">
                  <c:v>1.4534883720930232</c:v>
                </c:pt>
                <c:pt idx="98">
                  <c:v>0.51993067590987874</c:v>
                </c:pt>
                <c:pt idx="99">
                  <c:v>1.7021276595744681</c:v>
                </c:pt>
                <c:pt idx="100">
                  <c:v>0</c:v>
                </c:pt>
                <c:pt idx="101">
                  <c:v>0.5617977528089888</c:v>
                </c:pt>
                <c:pt idx="102">
                  <c:v>2.0408163265306123</c:v>
                </c:pt>
                <c:pt idx="103">
                  <c:v>2.4691358024691357</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1-36CE-4AFB-9313-7A7B86C5B0D3}"/>
            </c:ext>
          </c:extLst>
        </c:ser>
        <c:ser>
          <c:idx val="10"/>
          <c:order val="2"/>
          <c:tx>
            <c:strRef>
              <c:f>'Дума партии'!$AE$1</c:f>
              <c:strCache>
                <c:ptCount val="1"/>
                <c:pt idx="0">
                  <c:v>ЛДПР</c:v>
                </c:pt>
              </c:strCache>
            </c:strRef>
          </c:tx>
          <c:spPr>
            <a:solidFill>
              <a:srgbClr val="FF9900">
                <a:alpha val="50196"/>
              </a:srgbClr>
            </a:solidFill>
            <a:ln w="25400">
              <a:noFill/>
            </a:ln>
            <a:effectLst/>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партии'!$AE$2:$AE$113</c:f>
              <c:numCache>
                <c:formatCode>0.0</c:formatCode>
                <c:ptCount val="112"/>
                <c:pt idx="0">
                  <c:v>9.2857142857142865</c:v>
                </c:pt>
                <c:pt idx="1">
                  <c:v>9.6226415094339615</c:v>
                </c:pt>
                <c:pt idx="2">
                  <c:v>3.1602708803611739</c:v>
                </c:pt>
                <c:pt idx="3">
                  <c:v>7.6422764227642279</c:v>
                </c:pt>
                <c:pt idx="4">
                  <c:v>7.8947368421052628</c:v>
                </c:pt>
                <c:pt idx="5">
                  <c:v>10.069444444444445</c:v>
                </c:pt>
                <c:pt idx="6">
                  <c:v>7.6458752515090547</c:v>
                </c:pt>
                <c:pt idx="7">
                  <c:v>9.420289855072463</c:v>
                </c:pt>
                <c:pt idx="8">
                  <c:v>11.169284467713787</c:v>
                </c:pt>
                <c:pt idx="9">
                  <c:v>6.4718162839248432</c:v>
                </c:pt>
                <c:pt idx="10">
                  <c:v>10.824742268041238</c:v>
                </c:pt>
                <c:pt idx="11">
                  <c:v>9.022556390977444</c:v>
                </c:pt>
                <c:pt idx="12">
                  <c:v>7.6271186440677967</c:v>
                </c:pt>
                <c:pt idx="13">
                  <c:v>7.7064220183486238</c:v>
                </c:pt>
                <c:pt idx="14">
                  <c:v>8.6419753086419746</c:v>
                </c:pt>
                <c:pt idx="15">
                  <c:v>13.247863247863247</c:v>
                </c:pt>
                <c:pt idx="16">
                  <c:v>7.2463768115942031</c:v>
                </c:pt>
                <c:pt idx="17">
                  <c:v>6.1143984220907299</c:v>
                </c:pt>
                <c:pt idx="18">
                  <c:v>6.5476190476190474</c:v>
                </c:pt>
                <c:pt idx="19">
                  <c:v>8.1203007518797001</c:v>
                </c:pt>
                <c:pt idx="20">
                  <c:v>8.9506172839506171</c:v>
                </c:pt>
                <c:pt idx="21">
                  <c:v>8.2851637764932562</c:v>
                </c:pt>
                <c:pt idx="22">
                  <c:v>3.0012004801920766</c:v>
                </c:pt>
                <c:pt idx="23">
                  <c:v>1.6891891891891893</c:v>
                </c:pt>
                <c:pt idx="24">
                  <c:v>7.4698795180722888</c:v>
                </c:pt>
                <c:pt idx="25">
                  <c:v>11.589174184594032</c:v>
                </c:pt>
                <c:pt idx="26">
                  <c:v>5.5519690122659782</c:v>
                </c:pt>
                <c:pt idx="27">
                  <c:v>6.9063386944181646</c:v>
                </c:pt>
                <c:pt idx="28">
                  <c:v>10.193679918450561</c:v>
                </c:pt>
                <c:pt idx="29">
                  <c:v>8.8235294117647065</c:v>
                </c:pt>
                <c:pt idx="30">
                  <c:v>11.273209549071618</c:v>
                </c:pt>
                <c:pt idx="31">
                  <c:v>11.13490364025696</c:v>
                </c:pt>
                <c:pt idx="32">
                  <c:v>4.0760869565217392</c:v>
                </c:pt>
                <c:pt idx="33">
                  <c:v>7.1542130365659782</c:v>
                </c:pt>
                <c:pt idx="34">
                  <c:v>6.6492829204693615</c:v>
                </c:pt>
                <c:pt idx="35">
                  <c:v>6.5217391304347823</c:v>
                </c:pt>
                <c:pt idx="36">
                  <c:v>2.8523489932885906</c:v>
                </c:pt>
                <c:pt idx="37">
                  <c:v>4.6280991735537187</c:v>
                </c:pt>
                <c:pt idx="38">
                  <c:v>4.4058744993324437</c:v>
                </c:pt>
                <c:pt idx="39">
                  <c:v>6.3706563706563708</c:v>
                </c:pt>
                <c:pt idx="40">
                  <c:v>6.0402684563758386</c:v>
                </c:pt>
                <c:pt idx="41">
                  <c:v>8.2857142857142865</c:v>
                </c:pt>
                <c:pt idx="42">
                  <c:v>8.5329341317365266</c:v>
                </c:pt>
                <c:pt idx="43">
                  <c:v>6.3798219584569731</c:v>
                </c:pt>
                <c:pt idx="44">
                  <c:v>14.757709251101321</c:v>
                </c:pt>
                <c:pt idx="45">
                  <c:v>3.8819875776397517</c:v>
                </c:pt>
                <c:pt idx="46">
                  <c:v>8.5192697768762677</c:v>
                </c:pt>
                <c:pt idx="47">
                  <c:v>4.7700170357751279</c:v>
                </c:pt>
                <c:pt idx="48">
                  <c:v>9.4138543516873892</c:v>
                </c:pt>
                <c:pt idx="49">
                  <c:v>12.418300653594772</c:v>
                </c:pt>
                <c:pt idx="50">
                  <c:v>10.576923076923077</c:v>
                </c:pt>
                <c:pt idx="51">
                  <c:v>11.827956989247312</c:v>
                </c:pt>
                <c:pt idx="52">
                  <c:v>9.0163934426229506</c:v>
                </c:pt>
                <c:pt idx="53">
                  <c:v>13</c:v>
                </c:pt>
                <c:pt idx="54">
                  <c:v>12.544169611307421</c:v>
                </c:pt>
                <c:pt idx="55">
                  <c:v>12.208258527827649</c:v>
                </c:pt>
                <c:pt idx="56">
                  <c:v>13.396715643906655</c:v>
                </c:pt>
                <c:pt idx="57">
                  <c:v>13.070976809557273</c:v>
                </c:pt>
                <c:pt idx="58">
                  <c:v>10.471204188481675</c:v>
                </c:pt>
                <c:pt idx="59">
                  <c:v>7.311827956989247</c:v>
                </c:pt>
                <c:pt idx="60">
                  <c:v>12.846347607052897</c:v>
                </c:pt>
                <c:pt idx="61">
                  <c:v>5.7838660578386607</c:v>
                </c:pt>
                <c:pt idx="62">
                  <c:v>7.9207920792079207</c:v>
                </c:pt>
                <c:pt idx="63">
                  <c:v>7.3604060913705585</c:v>
                </c:pt>
                <c:pt idx="64">
                  <c:v>7.8787878787878789</c:v>
                </c:pt>
                <c:pt idx="65">
                  <c:v>7.5630252100840334</c:v>
                </c:pt>
                <c:pt idx="66">
                  <c:v>8.8235294117647065</c:v>
                </c:pt>
                <c:pt idx="67">
                  <c:v>7.783018867924528</c:v>
                </c:pt>
                <c:pt idx="68">
                  <c:v>7.1264367816091951</c:v>
                </c:pt>
                <c:pt idx="69">
                  <c:v>6.6869300911854106</c:v>
                </c:pt>
                <c:pt idx="70">
                  <c:v>11.333333333333334</c:v>
                </c:pt>
                <c:pt idx="71">
                  <c:v>11.223021582733812</c:v>
                </c:pt>
                <c:pt idx="72">
                  <c:v>6.7632850241545892</c:v>
                </c:pt>
                <c:pt idx="73">
                  <c:v>7.5</c:v>
                </c:pt>
                <c:pt idx="74">
                  <c:v>7.1847507331378297</c:v>
                </c:pt>
                <c:pt idx="75">
                  <c:v>8.1232492997198875</c:v>
                </c:pt>
                <c:pt idx="76">
                  <c:v>7.9022988505747129</c:v>
                </c:pt>
                <c:pt idx="77">
                  <c:v>7.8341013824884795</c:v>
                </c:pt>
                <c:pt idx="78">
                  <c:v>8.2066869300911858</c:v>
                </c:pt>
                <c:pt idx="79">
                  <c:v>8.1871345029239766</c:v>
                </c:pt>
                <c:pt idx="80">
                  <c:v>11.604938271604938</c:v>
                </c:pt>
                <c:pt idx="81">
                  <c:v>9.3373493975903621</c:v>
                </c:pt>
                <c:pt idx="82">
                  <c:v>1.9455252918287937</c:v>
                </c:pt>
                <c:pt idx="83">
                  <c:v>10.678210678210679</c:v>
                </c:pt>
                <c:pt idx="84">
                  <c:v>8.8235294117647065</c:v>
                </c:pt>
                <c:pt idx="85">
                  <c:v>6.101694915254237</c:v>
                </c:pt>
                <c:pt idx="86">
                  <c:v>10.031847133757962</c:v>
                </c:pt>
                <c:pt idx="87">
                  <c:v>6.0550458715596331</c:v>
                </c:pt>
                <c:pt idx="88">
                  <c:v>8.0519480519480524</c:v>
                </c:pt>
                <c:pt idx="89">
                  <c:v>9.2838196286472154</c:v>
                </c:pt>
                <c:pt idx="90">
                  <c:v>10.052910052910052</c:v>
                </c:pt>
                <c:pt idx="91">
                  <c:v>5.4054054054054053</c:v>
                </c:pt>
                <c:pt idx="92">
                  <c:v>9.0395480225988702</c:v>
                </c:pt>
                <c:pt idx="93">
                  <c:v>7.2234762979683973</c:v>
                </c:pt>
                <c:pt idx="94">
                  <c:v>8.5714285714285712</c:v>
                </c:pt>
                <c:pt idx="95">
                  <c:v>11.818181818181818</c:v>
                </c:pt>
                <c:pt idx="96">
                  <c:v>13.622291021671826</c:v>
                </c:pt>
                <c:pt idx="97">
                  <c:v>12.354651162790697</c:v>
                </c:pt>
                <c:pt idx="98">
                  <c:v>8.3188908145580598</c:v>
                </c:pt>
                <c:pt idx="99">
                  <c:v>7.2340425531914896</c:v>
                </c:pt>
                <c:pt idx="100">
                  <c:v>4.166666666666667</c:v>
                </c:pt>
                <c:pt idx="101">
                  <c:v>2.2471910112359552</c:v>
                </c:pt>
                <c:pt idx="102">
                  <c:v>9.183673469387756</c:v>
                </c:pt>
                <c:pt idx="103">
                  <c:v>13.168724279835391</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2-36CE-4AFB-9313-7A7B86C5B0D3}"/>
            </c:ext>
          </c:extLst>
        </c:ser>
        <c:ser>
          <c:idx val="11"/>
          <c:order val="3"/>
          <c:tx>
            <c:strRef>
              <c:f>'Дума партии'!$AG$1</c:f>
              <c:strCache>
                <c:ptCount val="1"/>
                <c:pt idx="0">
                  <c:v>Новые люди</c:v>
                </c:pt>
              </c:strCache>
            </c:strRef>
          </c:tx>
          <c:spPr>
            <a:solidFill>
              <a:srgbClr val="00FFFF">
                <a:alpha val="50000"/>
              </a:srgbClr>
            </a:solidFill>
            <a:ln w="25400">
              <a:noFill/>
            </a:ln>
            <a:effectLst/>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партии'!$AG$2:$AG$113</c:f>
              <c:numCache>
                <c:formatCode>0.0</c:formatCode>
                <c:ptCount val="112"/>
                <c:pt idx="0">
                  <c:v>1.4285714285714286</c:v>
                </c:pt>
                <c:pt idx="1">
                  <c:v>5.283018867924528</c:v>
                </c:pt>
                <c:pt idx="2">
                  <c:v>1.3544018058690745</c:v>
                </c:pt>
                <c:pt idx="3">
                  <c:v>6.0162601626016263</c:v>
                </c:pt>
                <c:pt idx="4">
                  <c:v>2.0242914979757085</c:v>
                </c:pt>
                <c:pt idx="5">
                  <c:v>5.9027777777777777</c:v>
                </c:pt>
                <c:pt idx="6">
                  <c:v>8.8531187122736412</c:v>
                </c:pt>
                <c:pt idx="7">
                  <c:v>8.1159420289855078</c:v>
                </c:pt>
                <c:pt idx="8">
                  <c:v>3.8394415357766145</c:v>
                </c:pt>
                <c:pt idx="9">
                  <c:v>4.1753653444676413</c:v>
                </c:pt>
                <c:pt idx="10">
                  <c:v>6.1855670103092786</c:v>
                </c:pt>
                <c:pt idx="11">
                  <c:v>2.7568922305764412</c:v>
                </c:pt>
                <c:pt idx="12">
                  <c:v>6.4971751412429377</c:v>
                </c:pt>
                <c:pt idx="13">
                  <c:v>6.4220183486238529</c:v>
                </c:pt>
                <c:pt idx="14">
                  <c:v>6.4197530864197532</c:v>
                </c:pt>
                <c:pt idx="15">
                  <c:v>7.4786324786324787</c:v>
                </c:pt>
                <c:pt idx="16">
                  <c:v>6.7632850241545892</c:v>
                </c:pt>
                <c:pt idx="17">
                  <c:v>4.3392504930966469</c:v>
                </c:pt>
                <c:pt idx="18">
                  <c:v>3.5714285714285716</c:v>
                </c:pt>
                <c:pt idx="19">
                  <c:v>5.1127819548872182</c:v>
                </c:pt>
                <c:pt idx="20">
                  <c:v>8.1790123456790127</c:v>
                </c:pt>
                <c:pt idx="21">
                  <c:v>4.6242774566473992</c:v>
                </c:pt>
                <c:pt idx="22">
                  <c:v>0</c:v>
                </c:pt>
                <c:pt idx="23">
                  <c:v>2.7027027027027026</c:v>
                </c:pt>
                <c:pt idx="24">
                  <c:v>6.9879518072289155</c:v>
                </c:pt>
                <c:pt idx="25">
                  <c:v>6.0374739764052743</c:v>
                </c:pt>
                <c:pt idx="26">
                  <c:v>2.9696578437701744</c:v>
                </c:pt>
                <c:pt idx="27">
                  <c:v>3.6896877956480605</c:v>
                </c:pt>
                <c:pt idx="28">
                  <c:v>4.5871559633027523</c:v>
                </c:pt>
                <c:pt idx="29">
                  <c:v>7.4660633484162897</c:v>
                </c:pt>
                <c:pt idx="30">
                  <c:v>4.7082228116710878</c:v>
                </c:pt>
                <c:pt idx="31">
                  <c:v>7.0663811563169165</c:v>
                </c:pt>
                <c:pt idx="32">
                  <c:v>3.2608695652173911</c:v>
                </c:pt>
                <c:pt idx="33">
                  <c:v>4.9284578696343404</c:v>
                </c:pt>
                <c:pt idx="34">
                  <c:v>5.0847457627118642</c:v>
                </c:pt>
                <c:pt idx="35">
                  <c:v>2.7536231884057969</c:v>
                </c:pt>
                <c:pt idx="36">
                  <c:v>3.8590604026845639</c:v>
                </c:pt>
                <c:pt idx="37">
                  <c:v>2.6446280991735538</c:v>
                </c:pt>
                <c:pt idx="38">
                  <c:v>3.4712950600801067</c:v>
                </c:pt>
                <c:pt idx="39">
                  <c:v>5.019305019305019</c:v>
                </c:pt>
                <c:pt idx="40">
                  <c:v>5.4809843400447429</c:v>
                </c:pt>
                <c:pt idx="41">
                  <c:v>6.8571428571428568</c:v>
                </c:pt>
                <c:pt idx="42">
                  <c:v>3.44311377245509</c:v>
                </c:pt>
                <c:pt idx="43">
                  <c:v>4.3026706231454002</c:v>
                </c:pt>
                <c:pt idx="44">
                  <c:v>4.6255506607929515</c:v>
                </c:pt>
                <c:pt idx="45">
                  <c:v>4.0372670807453419</c:v>
                </c:pt>
                <c:pt idx="46">
                  <c:v>6.4908722109533468</c:v>
                </c:pt>
                <c:pt idx="47">
                  <c:v>5.6218057921635438</c:v>
                </c:pt>
                <c:pt idx="48">
                  <c:v>5.8614564831261102</c:v>
                </c:pt>
                <c:pt idx="49">
                  <c:v>6.1002178649237475</c:v>
                </c:pt>
                <c:pt idx="50">
                  <c:v>2.8846153846153846</c:v>
                </c:pt>
                <c:pt idx="51">
                  <c:v>3.225806451612903</c:v>
                </c:pt>
                <c:pt idx="52">
                  <c:v>3.278688524590164</c:v>
                </c:pt>
                <c:pt idx="53">
                  <c:v>8.6</c:v>
                </c:pt>
                <c:pt idx="54">
                  <c:v>5.830388692579505</c:v>
                </c:pt>
                <c:pt idx="55">
                  <c:v>7.8994614003590664</c:v>
                </c:pt>
                <c:pt idx="56">
                  <c:v>3.7165082108902334</c:v>
                </c:pt>
                <c:pt idx="57">
                  <c:v>6.1138439915671121</c:v>
                </c:pt>
                <c:pt idx="58">
                  <c:v>5.3103964098728493</c:v>
                </c:pt>
                <c:pt idx="59">
                  <c:v>5.161290322580645</c:v>
                </c:pt>
                <c:pt idx="60">
                  <c:v>7.3047858942065496</c:v>
                </c:pt>
                <c:pt idx="61">
                  <c:v>3.3485540334855401</c:v>
                </c:pt>
                <c:pt idx="62">
                  <c:v>5.7425742574257423</c:v>
                </c:pt>
                <c:pt idx="63">
                  <c:v>5.0761421319796955</c:v>
                </c:pt>
                <c:pt idx="64">
                  <c:v>6.262626262626263</c:v>
                </c:pt>
                <c:pt idx="65">
                  <c:v>6.3025210084033612</c:v>
                </c:pt>
                <c:pt idx="66">
                  <c:v>6.3025210084033612</c:v>
                </c:pt>
                <c:pt idx="67">
                  <c:v>8.0188679245283012</c:v>
                </c:pt>
                <c:pt idx="68">
                  <c:v>3.9080459770114944</c:v>
                </c:pt>
                <c:pt idx="69">
                  <c:v>7.598784194528875</c:v>
                </c:pt>
                <c:pt idx="70">
                  <c:v>11.333333333333334</c:v>
                </c:pt>
                <c:pt idx="71">
                  <c:v>6.7625899280575537</c:v>
                </c:pt>
                <c:pt idx="72">
                  <c:v>2.6570048309178742</c:v>
                </c:pt>
                <c:pt idx="73">
                  <c:v>5.46875</c:v>
                </c:pt>
                <c:pt idx="74">
                  <c:v>5.4252199413489732</c:v>
                </c:pt>
                <c:pt idx="75">
                  <c:v>1.4005602240896358</c:v>
                </c:pt>
                <c:pt idx="76">
                  <c:v>5.6034482758620694</c:v>
                </c:pt>
                <c:pt idx="77">
                  <c:v>2.150537634408602</c:v>
                </c:pt>
                <c:pt idx="78">
                  <c:v>3.7993920972644375</c:v>
                </c:pt>
                <c:pt idx="79">
                  <c:v>2.6315789473684212</c:v>
                </c:pt>
                <c:pt idx="80">
                  <c:v>3.9506172839506171</c:v>
                </c:pt>
                <c:pt idx="81">
                  <c:v>5.1204819277108431</c:v>
                </c:pt>
                <c:pt idx="82">
                  <c:v>1.556420233463035</c:v>
                </c:pt>
                <c:pt idx="83">
                  <c:v>5.0505050505050502</c:v>
                </c:pt>
                <c:pt idx="84">
                  <c:v>5.4179566563467496</c:v>
                </c:pt>
                <c:pt idx="85">
                  <c:v>3.0508474576271185</c:v>
                </c:pt>
                <c:pt idx="86">
                  <c:v>5.4140127388535033</c:v>
                </c:pt>
                <c:pt idx="87">
                  <c:v>5.1376146788990829</c:v>
                </c:pt>
                <c:pt idx="88">
                  <c:v>4.4155844155844157</c:v>
                </c:pt>
                <c:pt idx="89">
                  <c:v>7.1618037135278518</c:v>
                </c:pt>
                <c:pt idx="90">
                  <c:v>6.3492063492063489</c:v>
                </c:pt>
                <c:pt idx="91">
                  <c:v>3.5561877667140824</c:v>
                </c:pt>
                <c:pt idx="92">
                  <c:v>4.3314500941619585</c:v>
                </c:pt>
                <c:pt idx="93">
                  <c:v>3.1602708803611739</c:v>
                </c:pt>
                <c:pt idx="94">
                  <c:v>8.5714285714285712</c:v>
                </c:pt>
                <c:pt idx="95">
                  <c:v>6.3636363636363633</c:v>
                </c:pt>
                <c:pt idx="96">
                  <c:v>4.829721362229102</c:v>
                </c:pt>
                <c:pt idx="97">
                  <c:v>5.3052325581395348</c:v>
                </c:pt>
                <c:pt idx="98">
                  <c:v>3.0329289428076258</c:v>
                </c:pt>
                <c:pt idx="99">
                  <c:v>7.2340425531914896</c:v>
                </c:pt>
                <c:pt idx="100">
                  <c:v>1.8518518518518519</c:v>
                </c:pt>
                <c:pt idx="101">
                  <c:v>1.6853932584269662</c:v>
                </c:pt>
                <c:pt idx="102">
                  <c:v>4.0816326530612246</c:v>
                </c:pt>
                <c:pt idx="103">
                  <c:v>5.3497942386831276</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3-36CE-4AFB-9313-7A7B86C5B0D3}"/>
            </c:ext>
          </c:extLst>
        </c:ser>
        <c:ser>
          <c:idx val="12"/>
          <c:order val="4"/>
          <c:tx>
            <c:strRef>
              <c:f>'Дума партии'!$AI$1</c:f>
              <c:strCache>
                <c:ptCount val="1"/>
                <c:pt idx="0">
                  <c:v>Единая Россия</c:v>
                </c:pt>
              </c:strCache>
            </c:strRef>
          </c:tx>
          <c:spPr>
            <a:solidFill>
              <a:srgbClr val="0000FF">
                <a:alpha val="49804"/>
              </a:srgbClr>
            </a:solidFill>
            <a:ln w="25400">
              <a:noFill/>
            </a:ln>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партии'!$AI$2:$AI$113</c:f>
              <c:numCache>
                <c:formatCode>0.0</c:formatCode>
                <c:ptCount val="112"/>
                <c:pt idx="0">
                  <c:v>38.214285714285715</c:v>
                </c:pt>
                <c:pt idx="1">
                  <c:v>36.415094339622641</c:v>
                </c:pt>
                <c:pt idx="2">
                  <c:v>69.97742663656885</c:v>
                </c:pt>
                <c:pt idx="3">
                  <c:v>38.373983739837399</c:v>
                </c:pt>
                <c:pt idx="4">
                  <c:v>60.728744939271252</c:v>
                </c:pt>
                <c:pt idx="5">
                  <c:v>36.979166666666664</c:v>
                </c:pt>
                <c:pt idx="6">
                  <c:v>35.814889336016094</c:v>
                </c:pt>
                <c:pt idx="7">
                  <c:v>34.492753623188406</c:v>
                </c:pt>
                <c:pt idx="8">
                  <c:v>32.460732984293195</c:v>
                </c:pt>
                <c:pt idx="9">
                  <c:v>35.07306889352818</c:v>
                </c:pt>
                <c:pt idx="10">
                  <c:v>32.130584192439862</c:v>
                </c:pt>
                <c:pt idx="11">
                  <c:v>53.884711779448622</c:v>
                </c:pt>
                <c:pt idx="12">
                  <c:v>35.028248587570623</c:v>
                </c:pt>
                <c:pt idx="13">
                  <c:v>40.183486238532112</c:v>
                </c:pt>
                <c:pt idx="14">
                  <c:v>37.037037037037038</c:v>
                </c:pt>
                <c:pt idx="15">
                  <c:v>30.341880341880341</c:v>
                </c:pt>
                <c:pt idx="16">
                  <c:v>33.091787439613526</c:v>
                </c:pt>
                <c:pt idx="17">
                  <c:v>61.735700197238657</c:v>
                </c:pt>
                <c:pt idx="18">
                  <c:v>54.761904761904759</c:v>
                </c:pt>
                <c:pt idx="19">
                  <c:v>32.481203007518801</c:v>
                </c:pt>
                <c:pt idx="20">
                  <c:v>33.487654320987652</c:v>
                </c:pt>
                <c:pt idx="21">
                  <c:v>48.554913294797686</c:v>
                </c:pt>
                <c:pt idx="22">
                  <c:v>81.752701080432175</c:v>
                </c:pt>
                <c:pt idx="23">
                  <c:v>57.432432432432435</c:v>
                </c:pt>
                <c:pt idx="24">
                  <c:v>38.072289156626503</c:v>
                </c:pt>
                <c:pt idx="25">
                  <c:v>46.564885496183209</c:v>
                </c:pt>
                <c:pt idx="26">
                  <c:v>69.851517107811489</c:v>
                </c:pt>
                <c:pt idx="27">
                  <c:v>63.765373699148533</c:v>
                </c:pt>
                <c:pt idx="28">
                  <c:v>50.968399592252801</c:v>
                </c:pt>
                <c:pt idx="29">
                  <c:v>35.294117647058826</c:v>
                </c:pt>
                <c:pt idx="30">
                  <c:v>55.50397877984085</c:v>
                </c:pt>
                <c:pt idx="31">
                  <c:v>34.047109207708779</c:v>
                </c:pt>
                <c:pt idx="32">
                  <c:v>73.097826086956516</c:v>
                </c:pt>
                <c:pt idx="33">
                  <c:v>53.25914149443561</c:v>
                </c:pt>
                <c:pt idx="34">
                  <c:v>43.9374185136897</c:v>
                </c:pt>
                <c:pt idx="35">
                  <c:v>64.05797101449275</c:v>
                </c:pt>
                <c:pt idx="36">
                  <c:v>64.429530201342288</c:v>
                </c:pt>
                <c:pt idx="37">
                  <c:v>63.636363636363633</c:v>
                </c:pt>
                <c:pt idx="38">
                  <c:v>51.802403204272366</c:v>
                </c:pt>
                <c:pt idx="39">
                  <c:v>48.262548262548265</c:v>
                </c:pt>
                <c:pt idx="40">
                  <c:v>51.565995525727068</c:v>
                </c:pt>
                <c:pt idx="41">
                  <c:v>32</c:v>
                </c:pt>
                <c:pt idx="42">
                  <c:v>52.395209580838326</c:v>
                </c:pt>
                <c:pt idx="43">
                  <c:v>50.593471810089021</c:v>
                </c:pt>
                <c:pt idx="44">
                  <c:v>43.832599118942731</c:v>
                </c:pt>
                <c:pt idx="45">
                  <c:v>54.813664596273291</c:v>
                </c:pt>
                <c:pt idx="46">
                  <c:v>27.586206896551722</c:v>
                </c:pt>
                <c:pt idx="47">
                  <c:v>50.170357751277685</c:v>
                </c:pt>
                <c:pt idx="48">
                  <c:v>34.280639431616343</c:v>
                </c:pt>
                <c:pt idx="49">
                  <c:v>27.015250544662308</c:v>
                </c:pt>
                <c:pt idx="50">
                  <c:v>29.807692307692307</c:v>
                </c:pt>
                <c:pt idx="51">
                  <c:v>31.182795698924732</c:v>
                </c:pt>
                <c:pt idx="52">
                  <c:v>26.229508196721312</c:v>
                </c:pt>
                <c:pt idx="53">
                  <c:v>32</c:v>
                </c:pt>
                <c:pt idx="54">
                  <c:v>34.982332155477032</c:v>
                </c:pt>
                <c:pt idx="55">
                  <c:v>36.265709156193893</c:v>
                </c:pt>
                <c:pt idx="56">
                  <c:v>51.944684528954191</c:v>
                </c:pt>
                <c:pt idx="57">
                  <c:v>46.732255797610684</c:v>
                </c:pt>
                <c:pt idx="58">
                  <c:v>51.982049364248319</c:v>
                </c:pt>
                <c:pt idx="59">
                  <c:v>42.795698924731184</c:v>
                </c:pt>
                <c:pt idx="60">
                  <c:v>28.211586901763223</c:v>
                </c:pt>
                <c:pt idx="61">
                  <c:v>56.925418569254184</c:v>
                </c:pt>
                <c:pt idx="62">
                  <c:v>28.118811881188119</c:v>
                </c:pt>
                <c:pt idx="63">
                  <c:v>31.979695431472081</c:v>
                </c:pt>
                <c:pt idx="64">
                  <c:v>35.151515151515149</c:v>
                </c:pt>
                <c:pt idx="65">
                  <c:v>29.201680672268907</c:v>
                </c:pt>
                <c:pt idx="66">
                  <c:v>25.210084033613445</c:v>
                </c:pt>
                <c:pt idx="67">
                  <c:v>29.245283018867923</c:v>
                </c:pt>
                <c:pt idx="68">
                  <c:v>42.298850574712645</c:v>
                </c:pt>
                <c:pt idx="69">
                  <c:v>32.218844984802431</c:v>
                </c:pt>
                <c:pt idx="70">
                  <c:v>18</c:v>
                </c:pt>
                <c:pt idx="71">
                  <c:v>32.949640287769782</c:v>
                </c:pt>
                <c:pt idx="72">
                  <c:v>66.908212560386474</c:v>
                </c:pt>
                <c:pt idx="73">
                  <c:v>51.09375</c:v>
                </c:pt>
                <c:pt idx="74">
                  <c:v>49.560117302052788</c:v>
                </c:pt>
                <c:pt idx="75">
                  <c:v>56.022408963585434</c:v>
                </c:pt>
                <c:pt idx="76">
                  <c:v>55.603448275862071</c:v>
                </c:pt>
                <c:pt idx="77">
                  <c:v>49.769585253456221</c:v>
                </c:pt>
                <c:pt idx="78">
                  <c:v>52.735562310030396</c:v>
                </c:pt>
                <c:pt idx="79">
                  <c:v>57.602339181286553</c:v>
                </c:pt>
                <c:pt idx="80">
                  <c:v>32.345679012345677</c:v>
                </c:pt>
                <c:pt idx="81">
                  <c:v>54.216867469879517</c:v>
                </c:pt>
                <c:pt idx="82">
                  <c:v>78.988326848249031</c:v>
                </c:pt>
                <c:pt idx="83">
                  <c:v>33.477633477633475</c:v>
                </c:pt>
                <c:pt idx="84">
                  <c:v>41.021671826625386</c:v>
                </c:pt>
                <c:pt idx="85">
                  <c:v>53.559322033898304</c:v>
                </c:pt>
                <c:pt idx="86">
                  <c:v>41.719745222929937</c:v>
                </c:pt>
                <c:pt idx="87">
                  <c:v>32.477064220183486</c:v>
                </c:pt>
                <c:pt idx="88">
                  <c:v>50.649350649350652</c:v>
                </c:pt>
                <c:pt idx="89">
                  <c:v>33.156498673740053</c:v>
                </c:pt>
                <c:pt idx="90">
                  <c:v>31.746031746031747</c:v>
                </c:pt>
                <c:pt idx="91">
                  <c:v>58.32147937411095</c:v>
                </c:pt>
                <c:pt idx="92">
                  <c:v>45.574387947269301</c:v>
                </c:pt>
                <c:pt idx="93">
                  <c:v>61.39954853273138</c:v>
                </c:pt>
                <c:pt idx="94">
                  <c:v>29.761904761904763</c:v>
                </c:pt>
                <c:pt idx="95">
                  <c:v>31.363636363636363</c:v>
                </c:pt>
                <c:pt idx="96">
                  <c:v>54.303405572755416</c:v>
                </c:pt>
                <c:pt idx="97">
                  <c:v>43.386627906976742</c:v>
                </c:pt>
                <c:pt idx="98">
                  <c:v>68.197573656845748</c:v>
                </c:pt>
                <c:pt idx="99">
                  <c:v>32.340425531914896</c:v>
                </c:pt>
                <c:pt idx="100">
                  <c:v>90.277777777777771</c:v>
                </c:pt>
                <c:pt idx="101">
                  <c:v>76.404494382022477</c:v>
                </c:pt>
                <c:pt idx="102">
                  <c:v>57.653061224489797</c:v>
                </c:pt>
                <c:pt idx="103">
                  <c:v>42.798353909465021</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4-36CE-4AFB-9313-7A7B86C5B0D3}"/>
            </c:ext>
          </c:extLst>
        </c:ser>
        <c:ser>
          <c:idx val="13"/>
          <c:order val="5"/>
          <c:tx>
            <c:strRef>
              <c:f>'Дума партии'!$AK$1</c:f>
              <c:strCache>
                <c:ptCount val="1"/>
                <c:pt idx="0">
                  <c:v>СР</c:v>
                </c:pt>
              </c:strCache>
            </c:strRef>
          </c:tx>
          <c:spPr>
            <a:solidFill>
              <a:srgbClr val="6666FF">
                <a:alpha val="49804"/>
              </a:srgbClr>
            </a:solidFill>
            <a:ln w="25400"/>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партии'!$AK$2:$AK$113</c:f>
              <c:numCache>
                <c:formatCode>0.0</c:formatCode>
                <c:ptCount val="112"/>
                <c:pt idx="0">
                  <c:v>8.9285714285714288</c:v>
                </c:pt>
                <c:pt idx="1">
                  <c:v>8.4905660377358494</c:v>
                </c:pt>
                <c:pt idx="2">
                  <c:v>2.2573363431151243</c:v>
                </c:pt>
                <c:pt idx="3">
                  <c:v>8.617886178861788</c:v>
                </c:pt>
                <c:pt idx="4">
                  <c:v>2.42914979757085</c:v>
                </c:pt>
                <c:pt idx="5">
                  <c:v>7.291666666666667</c:v>
                </c:pt>
                <c:pt idx="6">
                  <c:v>6.6398390342052318</c:v>
                </c:pt>
                <c:pt idx="7">
                  <c:v>5.7971014492753623</c:v>
                </c:pt>
                <c:pt idx="8">
                  <c:v>7.1553228621291449</c:v>
                </c:pt>
                <c:pt idx="9">
                  <c:v>4.1753653444676413</c:v>
                </c:pt>
                <c:pt idx="10">
                  <c:v>7.731958762886598</c:v>
                </c:pt>
                <c:pt idx="11">
                  <c:v>2.5062656641604009</c:v>
                </c:pt>
                <c:pt idx="12">
                  <c:v>5.6497175141242941</c:v>
                </c:pt>
                <c:pt idx="13">
                  <c:v>8.0733944954128436</c:v>
                </c:pt>
                <c:pt idx="14">
                  <c:v>5.4320987654320989</c:v>
                </c:pt>
                <c:pt idx="15">
                  <c:v>6.8376068376068373</c:v>
                </c:pt>
                <c:pt idx="16">
                  <c:v>10.386473429951691</c:v>
                </c:pt>
                <c:pt idx="17">
                  <c:v>3.9447731755424065</c:v>
                </c:pt>
                <c:pt idx="18">
                  <c:v>2.3809523809523809</c:v>
                </c:pt>
                <c:pt idx="19">
                  <c:v>8.4210526315789469</c:v>
                </c:pt>
                <c:pt idx="20">
                  <c:v>8.0246913580246915</c:v>
                </c:pt>
                <c:pt idx="21">
                  <c:v>5.5876685934489405</c:v>
                </c:pt>
                <c:pt idx="22">
                  <c:v>0</c:v>
                </c:pt>
                <c:pt idx="23">
                  <c:v>5.0675675675675675</c:v>
                </c:pt>
                <c:pt idx="24">
                  <c:v>5.5421686746987948</c:v>
                </c:pt>
                <c:pt idx="25">
                  <c:v>4.0943789035392086</c:v>
                </c:pt>
                <c:pt idx="26">
                  <c:v>4.196255648805681</c:v>
                </c:pt>
                <c:pt idx="27">
                  <c:v>2.7436140018921478</c:v>
                </c:pt>
                <c:pt idx="28">
                  <c:v>4.4852191641182468</c:v>
                </c:pt>
                <c:pt idx="29">
                  <c:v>7.2398190045248869</c:v>
                </c:pt>
                <c:pt idx="30">
                  <c:v>3.7798408488063662</c:v>
                </c:pt>
                <c:pt idx="31">
                  <c:v>4.7109207708779444</c:v>
                </c:pt>
                <c:pt idx="32">
                  <c:v>4.8913043478260869</c:v>
                </c:pt>
                <c:pt idx="33">
                  <c:v>3.4976152623211445</c:v>
                </c:pt>
                <c:pt idx="34">
                  <c:v>6.7796610169491522</c:v>
                </c:pt>
                <c:pt idx="35">
                  <c:v>2.8985507246376812</c:v>
                </c:pt>
                <c:pt idx="36">
                  <c:v>3.3557046979865772</c:v>
                </c:pt>
                <c:pt idx="37">
                  <c:v>4.1322314049586772</c:v>
                </c:pt>
                <c:pt idx="38">
                  <c:v>2.5367156208277706</c:v>
                </c:pt>
                <c:pt idx="39">
                  <c:v>6.756756756756757</c:v>
                </c:pt>
                <c:pt idx="40">
                  <c:v>4.1387024608501122</c:v>
                </c:pt>
                <c:pt idx="41">
                  <c:v>9.1428571428571423</c:v>
                </c:pt>
                <c:pt idx="42">
                  <c:v>5.3892215568862278</c:v>
                </c:pt>
                <c:pt idx="43">
                  <c:v>6.2314540059347179</c:v>
                </c:pt>
                <c:pt idx="44">
                  <c:v>3.9647577092511015</c:v>
                </c:pt>
                <c:pt idx="45">
                  <c:v>4.9689440993788816</c:v>
                </c:pt>
                <c:pt idx="46">
                  <c:v>6.4908722109533468</c:v>
                </c:pt>
                <c:pt idx="47">
                  <c:v>4.6848381601362865</c:v>
                </c:pt>
                <c:pt idx="48">
                  <c:v>6.571936056838366</c:v>
                </c:pt>
                <c:pt idx="49">
                  <c:v>9.3681917211328969</c:v>
                </c:pt>
                <c:pt idx="50">
                  <c:v>6.7307692307692308</c:v>
                </c:pt>
                <c:pt idx="51">
                  <c:v>5.376344086021505</c:v>
                </c:pt>
                <c:pt idx="52">
                  <c:v>7.3770491803278686</c:v>
                </c:pt>
                <c:pt idx="53">
                  <c:v>6</c:v>
                </c:pt>
                <c:pt idx="54">
                  <c:v>7.2438162544169611</c:v>
                </c:pt>
                <c:pt idx="55">
                  <c:v>7.5403949730700184</c:v>
                </c:pt>
                <c:pt idx="56">
                  <c:v>4.062229904926534</c:v>
                </c:pt>
                <c:pt idx="57">
                  <c:v>4.3569922698524248</c:v>
                </c:pt>
                <c:pt idx="58">
                  <c:v>4.4128646222887058</c:v>
                </c:pt>
                <c:pt idx="59">
                  <c:v>6.666666666666667</c:v>
                </c:pt>
                <c:pt idx="60">
                  <c:v>6.0453400503778338</c:v>
                </c:pt>
                <c:pt idx="61">
                  <c:v>3.3485540334855401</c:v>
                </c:pt>
                <c:pt idx="62">
                  <c:v>6.9306930693069306</c:v>
                </c:pt>
                <c:pt idx="63">
                  <c:v>8.6294416243654819</c:v>
                </c:pt>
                <c:pt idx="64">
                  <c:v>5.2525252525252526</c:v>
                </c:pt>
                <c:pt idx="65">
                  <c:v>9.4537815126050422</c:v>
                </c:pt>
                <c:pt idx="66">
                  <c:v>7.1428571428571432</c:v>
                </c:pt>
                <c:pt idx="67">
                  <c:v>8.2547169811320753</c:v>
                </c:pt>
                <c:pt idx="68">
                  <c:v>5.0574712643678161</c:v>
                </c:pt>
                <c:pt idx="69">
                  <c:v>7.598784194528875</c:v>
                </c:pt>
                <c:pt idx="70">
                  <c:v>6</c:v>
                </c:pt>
                <c:pt idx="71">
                  <c:v>9.0647482014388494</c:v>
                </c:pt>
                <c:pt idx="72">
                  <c:v>2.6570048309178742</c:v>
                </c:pt>
                <c:pt idx="73">
                  <c:v>4.84375</c:v>
                </c:pt>
                <c:pt idx="74">
                  <c:v>4.5454545454545459</c:v>
                </c:pt>
                <c:pt idx="75">
                  <c:v>5.0420168067226889</c:v>
                </c:pt>
                <c:pt idx="76">
                  <c:v>5.7471264367816088</c:v>
                </c:pt>
                <c:pt idx="77">
                  <c:v>4.9155145929339481</c:v>
                </c:pt>
                <c:pt idx="78">
                  <c:v>4.2553191489361701</c:v>
                </c:pt>
                <c:pt idx="79">
                  <c:v>6.7251461988304095</c:v>
                </c:pt>
                <c:pt idx="80">
                  <c:v>5.4320987654320989</c:v>
                </c:pt>
                <c:pt idx="81">
                  <c:v>4.8192771084337354</c:v>
                </c:pt>
                <c:pt idx="82">
                  <c:v>1.1673151750972763</c:v>
                </c:pt>
                <c:pt idx="83">
                  <c:v>7.2150072150072146</c:v>
                </c:pt>
                <c:pt idx="84">
                  <c:v>7.5851393188854486</c:v>
                </c:pt>
                <c:pt idx="85">
                  <c:v>5.0847457627118642</c:v>
                </c:pt>
                <c:pt idx="86">
                  <c:v>5.5732484076433124</c:v>
                </c:pt>
                <c:pt idx="87">
                  <c:v>6.9724770642201834</c:v>
                </c:pt>
                <c:pt idx="88">
                  <c:v>6.7532467532467528</c:v>
                </c:pt>
                <c:pt idx="89">
                  <c:v>5.3050397877984086</c:v>
                </c:pt>
                <c:pt idx="90">
                  <c:v>9.7883597883597879</c:v>
                </c:pt>
                <c:pt idx="91">
                  <c:v>3.6984352773826457</c:v>
                </c:pt>
                <c:pt idx="92">
                  <c:v>5.4613935969868175</c:v>
                </c:pt>
                <c:pt idx="93">
                  <c:v>4.288939051918736</c:v>
                </c:pt>
                <c:pt idx="94">
                  <c:v>6.1904761904761907</c:v>
                </c:pt>
                <c:pt idx="95">
                  <c:v>7.2727272727272725</c:v>
                </c:pt>
                <c:pt idx="96">
                  <c:v>3.0340557275541795</c:v>
                </c:pt>
                <c:pt idx="97">
                  <c:v>6.1773255813953485</c:v>
                </c:pt>
                <c:pt idx="98">
                  <c:v>3.0329289428076258</c:v>
                </c:pt>
                <c:pt idx="99">
                  <c:v>7.0212765957446805</c:v>
                </c:pt>
                <c:pt idx="100">
                  <c:v>0</c:v>
                </c:pt>
                <c:pt idx="101">
                  <c:v>1.1235955056179776</c:v>
                </c:pt>
                <c:pt idx="102">
                  <c:v>3.5714285714285716</c:v>
                </c:pt>
                <c:pt idx="103">
                  <c:v>3.2921810699588478</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5-36CE-4AFB-9313-7A7B86C5B0D3}"/>
            </c:ext>
          </c:extLst>
        </c:ser>
        <c:ser>
          <c:idx val="14"/>
          <c:order val="6"/>
          <c:tx>
            <c:strRef>
              <c:f>'Дума партии'!$AM$1</c:f>
              <c:strCache>
                <c:ptCount val="1"/>
                <c:pt idx="0">
                  <c:v>Яблоко</c:v>
                </c:pt>
              </c:strCache>
            </c:strRef>
          </c:tx>
          <c:spPr>
            <a:solidFill>
              <a:srgbClr val="FF00FF">
                <a:alpha val="50000"/>
              </a:srgbClr>
            </a:solidFill>
            <a:ln w="25400">
              <a:noFill/>
            </a:ln>
            <a:effectLst/>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партии'!$AM$2:$AM$113</c:f>
              <c:numCache>
                <c:formatCode>0.0</c:formatCode>
                <c:ptCount val="112"/>
                <c:pt idx="0">
                  <c:v>1.7857142857142858</c:v>
                </c:pt>
                <c:pt idx="1">
                  <c:v>1.6981132075471699</c:v>
                </c:pt>
                <c:pt idx="2">
                  <c:v>1.5801354401805869</c:v>
                </c:pt>
                <c:pt idx="3">
                  <c:v>2.7642276422764227</c:v>
                </c:pt>
                <c:pt idx="4">
                  <c:v>2.2267206477732793</c:v>
                </c:pt>
                <c:pt idx="5">
                  <c:v>1.3888888888888888</c:v>
                </c:pt>
                <c:pt idx="6">
                  <c:v>1.408450704225352</c:v>
                </c:pt>
                <c:pt idx="7">
                  <c:v>1.7391304347826086</c:v>
                </c:pt>
                <c:pt idx="8">
                  <c:v>1.5706806282722514</c:v>
                </c:pt>
                <c:pt idx="9">
                  <c:v>0.41753653444676408</c:v>
                </c:pt>
                <c:pt idx="10">
                  <c:v>2.9209621993127146</c:v>
                </c:pt>
                <c:pt idx="11">
                  <c:v>1.5037593984962405</c:v>
                </c:pt>
                <c:pt idx="12">
                  <c:v>2.8248587570621471</c:v>
                </c:pt>
                <c:pt idx="13">
                  <c:v>2.0183486238532109</c:v>
                </c:pt>
                <c:pt idx="14">
                  <c:v>1.4814814814814814</c:v>
                </c:pt>
                <c:pt idx="15">
                  <c:v>2.9914529914529915</c:v>
                </c:pt>
                <c:pt idx="16">
                  <c:v>1.6908212560386473</c:v>
                </c:pt>
                <c:pt idx="17">
                  <c:v>1.9723865877712032</c:v>
                </c:pt>
                <c:pt idx="18">
                  <c:v>1.1904761904761905</c:v>
                </c:pt>
                <c:pt idx="19">
                  <c:v>3.4586466165413534</c:v>
                </c:pt>
                <c:pt idx="20">
                  <c:v>2.6234567901234569</c:v>
                </c:pt>
                <c:pt idx="21">
                  <c:v>1.9267822736030829</c:v>
                </c:pt>
                <c:pt idx="22">
                  <c:v>6.0024009603841533</c:v>
                </c:pt>
                <c:pt idx="23">
                  <c:v>2.0270270270270272</c:v>
                </c:pt>
                <c:pt idx="24">
                  <c:v>1.6867469879518073</c:v>
                </c:pt>
                <c:pt idx="25">
                  <c:v>3.3310201249132545</c:v>
                </c:pt>
                <c:pt idx="26">
                  <c:v>0.64557779212395094</c:v>
                </c:pt>
                <c:pt idx="27">
                  <c:v>1.9867549668874172</c:v>
                </c:pt>
                <c:pt idx="28">
                  <c:v>1.5290519877675841</c:v>
                </c:pt>
                <c:pt idx="29">
                  <c:v>0.67873303167420818</c:v>
                </c:pt>
                <c:pt idx="30">
                  <c:v>1.9893899204244032</c:v>
                </c:pt>
                <c:pt idx="31">
                  <c:v>1.0706638115631693</c:v>
                </c:pt>
                <c:pt idx="32">
                  <c:v>2.1739130434782608</c:v>
                </c:pt>
                <c:pt idx="33">
                  <c:v>2.5437201907790143</c:v>
                </c:pt>
                <c:pt idx="34">
                  <c:v>3.9113428943937421</c:v>
                </c:pt>
                <c:pt idx="35">
                  <c:v>0.86956521739130432</c:v>
                </c:pt>
                <c:pt idx="36">
                  <c:v>0.83892617449664431</c:v>
                </c:pt>
                <c:pt idx="37">
                  <c:v>0.82644628099173556</c:v>
                </c:pt>
                <c:pt idx="38">
                  <c:v>1.2016021361815754</c:v>
                </c:pt>
                <c:pt idx="39">
                  <c:v>1.5444015444015444</c:v>
                </c:pt>
                <c:pt idx="40">
                  <c:v>3.2438478747203581</c:v>
                </c:pt>
                <c:pt idx="41">
                  <c:v>2</c:v>
                </c:pt>
                <c:pt idx="42">
                  <c:v>1.9461077844311376</c:v>
                </c:pt>
                <c:pt idx="43">
                  <c:v>2.5222551928783381</c:v>
                </c:pt>
                <c:pt idx="44">
                  <c:v>1.5418502202643172</c:v>
                </c:pt>
                <c:pt idx="45">
                  <c:v>1.8633540372670807</c:v>
                </c:pt>
                <c:pt idx="46">
                  <c:v>3.8539553752535496</c:v>
                </c:pt>
                <c:pt idx="47">
                  <c:v>3.4071550255536627</c:v>
                </c:pt>
                <c:pt idx="48">
                  <c:v>0.71047957371225579</c:v>
                </c:pt>
                <c:pt idx="49">
                  <c:v>0.65359477124183007</c:v>
                </c:pt>
                <c:pt idx="50">
                  <c:v>0.96153846153846156</c:v>
                </c:pt>
                <c:pt idx="51">
                  <c:v>0</c:v>
                </c:pt>
                <c:pt idx="52">
                  <c:v>0</c:v>
                </c:pt>
                <c:pt idx="53">
                  <c:v>1.4</c:v>
                </c:pt>
                <c:pt idx="54">
                  <c:v>2.1201413427561837</c:v>
                </c:pt>
                <c:pt idx="55">
                  <c:v>2.3339317773788153</c:v>
                </c:pt>
                <c:pt idx="56">
                  <c:v>3.4572169403630078</c:v>
                </c:pt>
                <c:pt idx="57">
                  <c:v>4.5678144764581869</c:v>
                </c:pt>
                <c:pt idx="58">
                  <c:v>2.4682124158563949</c:v>
                </c:pt>
                <c:pt idx="59">
                  <c:v>3.010752688172043</c:v>
                </c:pt>
                <c:pt idx="60">
                  <c:v>2.770780856423174</c:v>
                </c:pt>
                <c:pt idx="61">
                  <c:v>1.8264840182648401</c:v>
                </c:pt>
                <c:pt idx="62">
                  <c:v>4.1584158415841586</c:v>
                </c:pt>
                <c:pt idx="63">
                  <c:v>4.5685279187817258</c:v>
                </c:pt>
                <c:pt idx="64">
                  <c:v>3.6363636363636362</c:v>
                </c:pt>
                <c:pt idx="65">
                  <c:v>5.2521008403361344</c:v>
                </c:pt>
                <c:pt idx="66">
                  <c:v>5.2521008403361344</c:v>
                </c:pt>
                <c:pt idx="67">
                  <c:v>3.0660377358490565</c:v>
                </c:pt>
                <c:pt idx="68">
                  <c:v>2.0689655172413794</c:v>
                </c:pt>
                <c:pt idx="69">
                  <c:v>3.3434650455927053</c:v>
                </c:pt>
                <c:pt idx="70">
                  <c:v>2</c:v>
                </c:pt>
                <c:pt idx="71">
                  <c:v>3.0215827338129495</c:v>
                </c:pt>
                <c:pt idx="72">
                  <c:v>0.24154589371980675</c:v>
                </c:pt>
                <c:pt idx="73">
                  <c:v>0.78125</c:v>
                </c:pt>
                <c:pt idx="74">
                  <c:v>1.1730205278592376</c:v>
                </c:pt>
                <c:pt idx="75">
                  <c:v>0.56022408963585435</c:v>
                </c:pt>
                <c:pt idx="76">
                  <c:v>0.86206896551724133</c:v>
                </c:pt>
                <c:pt idx="77">
                  <c:v>1.075268817204301</c:v>
                </c:pt>
                <c:pt idx="78">
                  <c:v>1.3677811550151975</c:v>
                </c:pt>
                <c:pt idx="79">
                  <c:v>0</c:v>
                </c:pt>
                <c:pt idx="80">
                  <c:v>1.728395061728395</c:v>
                </c:pt>
                <c:pt idx="81">
                  <c:v>0.30120481927710846</c:v>
                </c:pt>
                <c:pt idx="82">
                  <c:v>0.38910505836575876</c:v>
                </c:pt>
                <c:pt idx="83">
                  <c:v>2.3088023088023086</c:v>
                </c:pt>
                <c:pt idx="84">
                  <c:v>1.2383900928792571</c:v>
                </c:pt>
                <c:pt idx="85">
                  <c:v>2.0338983050847457</c:v>
                </c:pt>
                <c:pt idx="86">
                  <c:v>0.95541401273885351</c:v>
                </c:pt>
                <c:pt idx="87">
                  <c:v>2.9357798165137616</c:v>
                </c:pt>
                <c:pt idx="88">
                  <c:v>0.77922077922077926</c:v>
                </c:pt>
                <c:pt idx="89">
                  <c:v>2.6525198938992043</c:v>
                </c:pt>
                <c:pt idx="90">
                  <c:v>2.1164021164021163</c:v>
                </c:pt>
                <c:pt idx="91">
                  <c:v>1.7069701280227596</c:v>
                </c:pt>
                <c:pt idx="92">
                  <c:v>1.6949152542372881</c:v>
                </c:pt>
                <c:pt idx="93">
                  <c:v>0.22573363431151242</c:v>
                </c:pt>
                <c:pt idx="94">
                  <c:v>5.2380952380952381</c:v>
                </c:pt>
                <c:pt idx="95">
                  <c:v>2.0454545454545454</c:v>
                </c:pt>
                <c:pt idx="96">
                  <c:v>3.3436532507739938</c:v>
                </c:pt>
                <c:pt idx="97">
                  <c:v>2.9069767441860463</c:v>
                </c:pt>
                <c:pt idx="98">
                  <c:v>1.3864818024263432</c:v>
                </c:pt>
                <c:pt idx="99">
                  <c:v>3.6170212765957448</c:v>
                </c:pt>
                <c:pt idx="100">
                  <c:v>0</c:v>
                </c:pt>
                <c:pt idx="101">
                  <c:v>0.5617977528089888</c:v>
                </c:pt>
                <c:pt idx="102">
                  <c:v>2.0408163265306123</c:v>
                </c:pt>
                <c:pt idx="103">
                  <c:v>0.82304526748971196</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6-36CE-4AFB-9313-7A7B86C5B0D3}"/>
            </c:ext>
          </c:extLst>
        </c:ser>
        <c:ser>
          <c:idx val="15"/>
          <c:order val="7"/>
          <c:tx>
            <c:strRef>
              <c:f>'Дума партии'!$AO$1</c:f>
              <c:strCache>
                <c:ptCount val="1"/>
                <c:pt idx="0">
                  <c:v>Роста</c:v>
                </c:pt>
              </c:strCache>
            </c:strRef>
          </c:tx>
          <c:spPr>
            <a:solidFill>
              <a:srgbClr val="777777">
                <a:alpha val="50000"/>
              </a:srgbClr>
            </a:solidFill>
            <a:ln w="25400">
              <a:noFill/>
            </a:ln>
            <a:effectLst/>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партии'!$AO$2:$AO$113</c:f>
              <c:numCache>
                <c:formatCode>0.0</c:formatCode>
                <c:ptCount val="112"/>
                <c:pt idx="0">
                  <c:v>0.35714285714285715</c:v>
                </c:pt>
                <c:pt idx="1">
                  <c:v>1.8867924528301887</c:v>
                </c:pt>
                <c:pt idx="2">
                  <c:v>0.22573363431151242</c:v>
                </c:pt>
                <c:pt idx="3">
                  <c:v>1.3008130081300813</c:v>
                </c:pt>
                <c:pt idx="4">
                  <c:v>0.80971659919028338</c:v>
                </c:pt>
                <c:pt idx="5">
                  <c:v>0.34722222222222221</c:v>
                </c:pt>
                <c:pt idx="6">
                  <c:v>0</c:v>
                </c:pt>
                <c:pt idx="7">
                  <c:v>0.43478260869565216</c:v>
                </c:pt>
                <c:pt idx="8">
                  <c:v>0</c:v>
                </c:pt>
                <c:pt idx="9">
                  <c:v>0.20876826722338204</c:v>
                </c:pt>
                <c:pt idx="10">
                  <c:v>0.1718213058419244</c:v>
                </c:pt>
                <c:pt idx="11">
                  <c:v>0.25062656641604009</c:v>
                </c:pt>
                <c:pt idx="12">
                  <c:v>0.2824858757062147</c:v>
                </c:pt>
                <c:pt idx="13">
                  <c:v>0</c:v>
                </c:pt>
                <c:pt idx="14">
                  <c:v>0</c:v>
                </c:pt>
                <c:pt idx="15">
                  <c:v>0.42735042735042733</c:v>
                </c:pt>
                <c:pt idx="16">
                  <c:v>0.96618357487922701</c:v>
                </c:pt>
                <c:pt idx="17">
                  <c:v>0.39447731755424065</c:v>
                </c:pt>
                <c:pt idx="18">
                  <c:v>0</c:v>
                </c:pt>
                <c:pt idx="19">
                  <c:v>0.75187969924812026</c:v>
                </c:pt>
                <c:pt idx="20">
                  <c:v>0.77160493827160492</c:v>
                </c:pt>
                <c:pt idx="21">
                  <c:v>0.38535645472061658</c:v>
                </c:pt>
                <c:pt idx="22">
                  <c:v>0</c:v>
                </c:pt>
                <c:pt idx="23">
                  <c:v>0</c:v>
                </c:pt>
                <c:pt idx="24">
                  <c:v>0.48192771084337349</c:v>
                </c:pt>
                <c:pt idx="25">
                  <c:v>0.90215128383067311</c:v>
                </c:pt>
                <c:pt idx="26">
                  <c:v>0.19367333763718528</c:v>
                </c:pt>
                <c:pt idx="27">
                  <c:v>0.66225165562913912</c:v>
                </c:pt>
                <c:pt idx="28">
                  <c:v>0.1019367991845056</c:v>
                </c:pt>
                <c:pt idx="29">
                  <c:v>0.67873303167420818</c:v>
                </c:pt>
                <c:pt idx="30">
                  <c:v>0.19893899204244031</c:v>
                </c:pt>
                <c:pt idx="31">
                  <c:v>0</c:v>
                </c:pt>
                <c:pt idx="32">
                  <c:v>0.54347826086956519</c:v>
                </c:pt>
                <c:pt idx="33">
                  <c:v>0.63593004769475359</c:v>
                </c:pt>
                <c:pt idx="34">
                  <c:v>0.65189048239895697</c:v>
                </c:pt>
                <c:pt idx="35">
                  <c:v>0.14492753623188406</c:v>
                </c:pt>
                <c:pt idx="36">
                  <c:v>0</c:v>
                </c:pt>
                <c:pt idx="37">
                  <c:v>0.66115702479338845</c:v>
                </c:pt>
                <c:pt idx="38">
                  <c:v>2.6702269692923899</c:v>
                </c:pt>
                <c:pt idx="39">
                  <c:v>0.19305019305019305</c:v>
                </c:pt>
                <c:pt idx="40">
                  <c:v>1.4541387024608501</c:v>
                </c:pt>
                <c:pt idx="41">
                  <c:v>0.8571428571428571</c:v>
                </c:pt>
                <c:pt idx="42">
                  <c:v>0.59880239520958078</c:v>
                </c:pt>
                <c:pt idx="43">
                  <c:v>0.14836795252225518</c:v>
                </c:pt>
                <c:pt idx="44">
                  <c:v>0.44052863436123346</c:v>
                </c:pt>
                <c:pt idx="45">
                  <c:v>0.6211180124223602</c:v>
                </c:pt>
                <c:pt idx="46">
                  <c:v>1.0141987829614605</c:v>
                </c:pt>
                <c:pt idx="47">
                  <c:v>1.788756388415673</c:v>
                </c:pt>
                <c:pt idx="48">
                  <c:v>0.35523978685612789</c:v>
                </c:pt>
                <c:pt idx="49">
                  <c:v>0</c:v>
                </c:pt>
                <c:pt idx="50">
                  <c:v>0.96153846153846156</c:v>
                </c:pt>
                <c:pt idx="51">
                  <c:v>0</c:v>
                </c:pt>
                <c:pt idx="52">
                  <c:v>0</c:v>
                </c:pt>
                <c:pt idx="53">
                  <c:v>0.2</c:v>
                </c:pt>
                <c:pt idx="54">
                  <c:v>0.17667844522968199</c:v>
                </c:pt>
                <c:pt idx="55">
                  <c:v>1.2567324955116697</c:v>
                </c:pt>
                <c:pt idx="56">
                  <c:v>8.6430423509075191E-2</c:v>
                </c:pt>
                <c:pt idx="57">
                  <c:v>1.1243851018973998</c:v>
                </c:pt>
                <c:pt idx="58">
                  <c:v>0.29917726252804788</c:v>
                </c:pt>
                <c:pt idx="59">
                  <c:v>0.86021505376344087</c:v>
                </c:pt>
                <c:pt idx="60">
                  <c:v>0.75566750629722923</c:v>
                </c:pt>
                <c:pt idx="61">
                  <c:v>0</c:v>
                </c:pt>
                <c:pt idx="62">
                  <c:v>0.19801980198019803</c:v>
                </c:pt>
                <c:pt idx="63">
                  <c:v>1.015228426395939</c:v>
                </c:pt>
                <c:pt idx="64">
                  <c:v>0.60606060606060608</c:v>
                </c:pt>
                <c:pt idx="65">
                  <c:v>1.2605042016806722</c:v>
                </c:pt>
                <c:pt idx="66">
                  <c:v>0.21008403361344538</c:v>
                </c:pt>
                <c:pt idx="67">
                  <c:v>0.94339622641509435</c:v>
                </c:pt>
                <c:pt idx="68">
                  <c:v>0.45977011494252873</c:v>
                </c:pt>
                <c:pt idx="69">
                  <c:v>0.303951367781155</c:v>
                </c:pt>
                <c:pt idx="70">
                  <c:v>0.66666666666666663</c:v>
                </c:pt>
                <c:pt idx="71">
                  <c:v>0.28776978417266186</c:v>
                </c:pt>
                <c:pt idx="72">
                  <c:v>0</c:v>
                </c:pt>
                <c:pt idx="73">
                  <c:v>0.625</c:v>
                </c:pt>
                <c:pt idx="74">
                  <c:v>0.73313782991202348</c:v>
                </c:pt>
                <c:pt idx="75">
                  <c:v>0</c:v>
                </c:pt>
                <c:pt idx="76">
                  <c:v>0</c:v>
                </c:pt>
                <c:pt idx="77">
                  <c:v>0</c:v>
                </c:pt>
                <c:pt idx="78">
                  <c:v>0.303951367781155</c:v>
                </c:pt>
                <c:pt idx="79">
                  <c:v>0</c:v>
                </c:pt>
                <c:pt idx="80">
                  <c:v>0</c:v>
                </c:pt>
                <c:pt idx="81">
                  <c:v>0.30120481927710846</c:v>
                </c:pt>
                <c:pt idx="82">
                  <c:v>0</c:v>
                </c:pt>
                <c:pt idx="83">
                  <c:v>0.72150072150072153</c:v>
                </c:pt>
                <c:pt idx="84">
                  <c:v>0.30959752321981426</c:v>
                </c:pt>
                <c:pt idx="85">
                  <c:v>0</c:v>
                </c:pt>
                <c:pt idx="86">
                  <c:v>0.15923566878980891</c:v>
                </c:pt>
                <c:pt idx="87">
                  <c:v>0.55045871559633031</c:v>
                </c:pt>
                <c:pt idx="88">
                  <c:v>0.25974025974025972</c:v>
                </c:pt>
                <c:pt idx="89">
                  <c:v>0.79575596816976124</c:v>
                </c:pt>
                <c:pt idx="90">
                  <c:v>0.79365079365079361</c:v>
                </c:pt>
                <c:pt idx="91">
                  <c:v>0.28449502133712662</c:v>
                </c:pt>
                <c:pt idx="92">
                  <c:v>0.18832391713747645</c:v>
                </c:pt>
                <c:pt idx="93">
                  <c:v>0.45146726862302483</c:v>
                </c:pt>
                <c:pt idx="94">
                  <c:v>1.4285714285714286</c:v>
                </c:pt>
                <c:pt idx="95">
                  <c:v>0.68181818181818177</c:v>
                </c:pt>
                <c:pt idx="96">
                  <c:v>0.37151702786377711</c:v>
                </c:pt>
                <c:pt idx="97">
                  <c:v>0</c:v>
                </c:pt>
                <c:pt idx="98">
                  <c:v>0.1733102253032929</c:v>
                </c:pt>
                <c:pt idx="99">
                  <c:v>0.63829787234042556</c:v>
                </c:pt>
                <c:pt idx="100">
                  <c:v>0</c:v>
                </c:pt>
                <c:pt idx="101">
                  <c:v>0</c:v>
                </c:pt>
                <c:pt idx="102">
                  <c:v>2.0408163265306123</c:v>
                </c:pt>
                <c:pt idx="103">
                  <c:v>0</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7-36CE-4AFB-9313-7A7B86C5B0D3}"/>
            </c:ext>
          </c:extLst>
        </c:ser>
        <c:ser>
          <c:idx val="4"/>
          <c:order val="8"/>
          <c:tx>
            <c:strRef>
              <c:f>'Дума партии'!$AQ$1</c:f>
              <c:strCache>
                <c:ptCount val="1"/>
                <c:pt idx="0">
                  <c:v>Свободы</c:v>
                </c:pt>
              </c:strCache>
            </c:strRef>
          </c:tx>
          <c:spPr>
            <a:solidFill>
              <a:srgbClr val="0099CC">
                <a:alpha val="50000"/>
              </a:srgbClr>
            </a:solidFill>
            <a:ln w="25400">
              <a:noFill/>
            </a:ln>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партии'!$AQ$2:$AQ$113</c:f>
              <c:numCache>
                <c:formatCode>0.0</c:formatCode>
                <c:ptCount val="112"/>
                <c:pt idx="0">
                  <c:v>0.35714285714285715</c:v>
                </c:pt>
                <c:pt idx="1">
                  <c:v>0.94339622641509435</c:v>
                </c:pt>
                <c:pt idx="2">
                  <c:v>1.5801354401805869</c:v>
                </c:pt>
                <c:pt idx="3">
                  <c:v>0.81300813008130079</c:v>
                </c:pt>
                <c:pt idx="4">
                  <c:v>1.0121457489878543</c:v>
                </c:pt>
                <c:pt idx="5">
                  <c:v>0.69444444444444442</c:v>
                </c:pt>
                <c:pt idx="6">
                  <c:v>2.0120724346076457</c:v>
                </c:pt>
                <c:pt idx="7">
                  <c:v>1.1594202898550725</c:v>
                </c:pt>
                <c:pt idx="8">
                  <c:v>0.52356020942408377</c:v>
                </c:pt>
                <c:pt idx="9">
                  <c:v>0.41753653444676408</c:v>
                </c:pt>
                <c:pt idx="10">
                  <c:v>0.51546391752577314</c:v>
                </c:pt>
                <c:pt idx="11">
                  <c:v>0.25062656641604009</c:v>
                </c:pt>
                <c:pt idx="12">
                  <c:v>0.2824858757062147</c:v>
                </c:pt>
                <c:pt idx="13">
                  <c:v>0.91743119266055051</c:v>
                </c:pt>
                <c:pt idx="14">
                  <c:v>1.9753086419753085</c:v>
                </c:pt>
                <c:pt idx="15">
                  <c:v>1.0683760683760684</c:v>
                </c:pt>
                <c:pt idx="16">
                  <c:v>1.6908212560386473</c:v>
                </c:pt>
                <c:pt idx="17">
                  <c:v>1.5779092702169626</c:v>
                </c:pt>
                <c:pt idx="18">
                  <c:v>0.59523809523809523</c:v>
                </c:pt>
                <c:pt idx="19">
                  <c:v>0.75187969924812026</c:v>
                </c:pt>
                <c:pt idx="20">
                  <c:v>1.3888888888888888</c:v>
                </c:pt>
                <c:pt idx="21">
                  <c:v>0.77071290944123316</c:v>
                </c:pt>
                <c:pt idx="22">
                  <c:v>0</c:v>
                </c:pt>
                <c:pt idx="23">
                  <c:v>1.3513513513513513</c:v>
                </c:pt>
                <c:pt idx="24">
                  <c:v>0.72289156626506024</c:v>
                </c:pt>
                <c:pt idx="25">
                  <c:v>0.83275503122831362</c:v>
                </c:pt>
                <c:pt idx="26">
                  <c:v>0.45190445448676564</c:v>
                </c:pt>
                <c:pt idx="27">
                  <c:v>0.85146641438032167</c:v>
                </c:pt>
                <c:pt idx="28">
                  <c:v>0.6116207951070336</c:v>
                </c:pt>
                <c:pt idx="29">
                  <c:v>1.1312217194570136</c:v>
                </c:pt>
                <c:pt idx="30">
                  <c:v>0.59681697612732099</c:v>
                </c:pt>
                <c:pt idx="31">
                  <c:v>1.2847965738758029</c:v>
                </c:pt>
                <c:pt idx="32">
                  <c:v>0</c:v>
                </c:pt>
                <c:pt idx="33">
                  <c:v>1.4308426073131955</c:v>
                </c:pt>
                <c:pt idx="34">
                  <c:v>1.0430247718383312</c:v>
                </c:pt>
                <c:pt idx="35">
                  <c:v>0.57971014492753625</c:v>
                </c:pt>
                <c:pt idx="36">
                  <c:v>0.83892617449664431</c:v>
                </c:pt>
                <c:pt idx="37">
                  <c:v>0.82644628099173556</c:v>
                </c:pt>
                <c:pt idx="38">
                  <c:v>0.13351134846461948</c:v>
                </c:pt>
                <c:pt idx="39">
                  <c:v>1.5444015444015444</c:v>
                </c:pt>
                <c:pt idx="40">
                  <c:v>1.4541387024608501</c:v>
                </c:pt>
                <c:pt idx="41">
                  <c:v>1.4285714285714286</c:v>
                </c:pt>
                <c:pt idx="42">
                  <c:v>0.89820359281437123</c:v>
                </c:pt>
                <c:pt idx="43">
                  <c:v>1.3353115727002967</c:v>
                </c:pt>
                <c:pt idx="44">
                  <c:v>0.22026431718061673</c:v>
                </c:pt>
                <c:pt idx="45">
                  <c:v>0.3105590062111801</c:v>
                </c:pt>
                <c:pt idx="46">
                  <c:v>2.028397565922921</c:v>
                </c:pt>
                <c:pt idx="47">
                  <c:v>2.7257240204429301</c:v>
                </c:pt>
                <c:pt idx="48">
                  <c:v>0.71047957371225579</c:v>
                </c:pt>
                <c:pt idx="49">
                  <c:v>0.65359477124183007</c:v>
                </c:pt>
                <c:pt idx="50">
                  <c:v>1.9230769230769231</c:v>
                </c:pt>
                <c:pt idx="51">
                  <c:v>2.150537634408602</c:v>
                </c:pt>
                <c:pt idx="52">
                  <c:v>2.459016393442623</c:v>
                </c:pt>
                <c:pt idx="53">
                  <c:v>0.8</c:v>
                </c:pt>
                <c:pt idx="54">
                  <c:v>0.53003533568904593</c:v>
                </c:pt>
                <c:pt idx="55">
                  <c:v>1.0771992818671454</c:v>
                </c:pt>
                <c:pt idx="56">
                  <c:v>0.77787381158167679</c:v>
                </c:pt>
                <c:pt idx="57">
                  <c:v>0.84328882642304992</c:v>
                </c:pt>
                <c:pt idx="58">
                  <c:v>0.14958863126402394</c:v>
                </c:pt>
                <c:pt idx="59">
                  <c:v>1.5053763440860215</c:v>
                </c:pt>
                <c:pt idx="60">
                  <c:v>1.0075566750629723</c:v>
                </c:pt>
                <c:pt idx="61">
                  <c:v>0.45662100456621002</c:v>
                </c:pt>
                <c:pt idx="62">
                  <c:v>1.1881188118811881</c:v>
                </c:pt>
                <c:pt idx="63">
                  <c:v>0</c:v>
                </c:pt>
                <c:pt idx="64">
                  <c:v>0.60606060606060608</c:v>
                </c:pt>
                <c:pt idx="65">
                  <c:v>0</c:v>
                </c:pt>
                <c:pt idx="66">
                  <c:v>1.0504201680672269</c:v>
                </c:pt>
                <c:pt idx="67">
                  <c:v>0.23584905660377359</c:v>
                </c:pt>
                <c:pt idx="68">
                  <c:v>1.6091954022988506</c:v>
                </c:pt>
                <c:pt idx="69">
                  <c:v>2.1276595744680851</c:v>
                </c:pt>
                <c:pt idx="70">
                  <c:v>0</c:v>
                </c:pt>
                <c:pt idx="71">
                  <c:v>1.1510791366906474</c:v>
                </c:pt>
                <c:pt idx="72">
                  <c:v>0.96618357487922701</c:v>
                </c:pt>
                <c:pt idx="73">
                  <c:v>1.09375</c:v>
                </c:pt>
                <c:pt idx="74">
                  <c:v>0.5865102639296188</c:v>
                </c:pt>
                <c:pt idx="75">
                  <c:v>0.28011204481792717</c:v>
                </c:pt>
                <c:pt idx="76">
                  <c:v>0.43103448275862066</c:v>
                </c:pt>
                <c:pt idx="77">
                  <c:v>1.228878648233487</c:v>
                </c:pt>
                <c:pt idx="78">
                  <c:v>0.303951367781155</c:v>
                </c:pt>
                <c:pt idx="79">
                  <c:v>0.8771929824561403</c:v>
                </c:pt>
                <c:pt idx="80">
                  <c:v>0.98765432098765427</c:v>
                </c:pt>
                <c:pt idx="81">
                  <c:v>0</c:v>
                </c:pt>
                <c:pt idx="82">
                  <c:v>0.38910505836575876</c:v>
                </c:pt>
                <c:pt idx="83">
                  <c:v>0.72150072150072153</c:v>
                </c:pt>
                <c:pt idx="84">
                  <c:v>0.77399380804953566</c:v>
                </c:pt>
                <c:pt idx="85">
                  <c:v>0</c:v>
                </c:pt>
                <c:pt idx="86">
                  <c:v>1.4331210191082802</c:v>
                </c:pt>
                <c:pt idx="87">
                  <c:v>0.55045871559633031</c:v>
                </c:pt>
                <c:pt idx="88">
                  <c:v>0</c:v>
                </c:pt>
                <c:pt idx="89">
                  <c:v>0.5305039787798409</c:v>
                </c:pt>
                <c:pt idx="90">
                  <c:v>0.79365079365079361</c:v>
                </c:pt>
                <c:pt idx="91">
                  <c:v>0.56899004267425324</c:v>
                </c:pt>
                <c:pt idx="92">
                  <c:v>1.8832391713747645</c:v>
                </c:pt>
                <c:pt idx="93">
                  <c:v>1.1286681715575622</c:v>
                </c:pt>
                <c:pt idx="94">
                  <c:v>0.7142857142857143</c:v>
                </c:pt>
                <c:pt idx="95">
                  <c:v>0.90909090909090906</c:v>
                </c:pt>
                <c:pt idx="96">
                  <c:v>0.68111455108359131</c:v>
                </c:pt>
                <c:pt idx="97">
                  <c:v>0.72674418604651159</c:v>
                </c:pt>
                <c:pt idx="98">
                  <c:v>0.43327556325823224</c:v>
                </c:pt>
                <c:pt idx="99">
                  <c:v>1.7021276595744681</c:v>
                </c:pt>
                <c:pt idx="100">
                  <c:v>0</c:v>
                </c:pt>
                <c:pt idx="101">
                  <c:v>0</c:v>
                </c:pt>
                <c:pt idx="102">
                  <c:v>1.0204081632653061</c:v>
                </c:pt>
                <c:pt idx="103">
                  <c:v>0</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8-36CE-4AFB-9313-7A7B86C5B0D3}"/>
            </c:ext>
          </c:extLst>
        </c:ser>
        <c:ser>
          <c:idx val="5"/>
          <c:order val="9"/>
          <c:tx>
            <c:strRef>
              <c:f>'Дума партии'!$AS$1</c:f>
              <c:strCache>
                <c:ptCount val="1"/>
                <c:pt idx="0">
                  <c:v>КР</c:v>
                </c:pt>
              </c:strCache>
            </c:strRef>
          </c:tx>
          <c:spPr>
            <a:solidFill>
              <a:srgbClr val="FF9999">
                <a:alpha val="50196"/>
              </a:srgbClr>
            </a:solidFill>
            <a:ln w="25400"/>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партии'!$AS$2:$AS$113</c:f>
              <c:numCache>
                <c:formatCode>0.0</c:formatCode>
                <c:ptCount val="112"/>
                <c:pt idx="0">
                  <c:v>1.0714285714285714</c:v>
                </c:pt>
                <c:pt idx="1">
                  <c:v>1.5094339622641511</c:v>
                </c:pt>
                <c:pt idx="2">
                  <c:v>1.3544018058690745</c:v>
                </c:pt>
                <c:pt idx="3">
                  <c:v>1.7886178861788617</c:v>
                </c:pt>
                <c:pt idx="4">
                  <c:v>1.214574898785425</c:v>
                </c:pt>
                <c:pt idx="5">
                  <c:v>2.4305555555555554</c:v>
                </c:pt>
                <c:pt idx="6">
                  <c:v>1.8108651911468814</c:v>
                </c:pt>
                <c:pt idx="7">
                  <c:v>2.4637681159420288</c:v>
                </c:pt>
                <c:pt idx="8">
                  <c:v>1.5706806282722514</c:v>
                </c:pt>
                <c:pt idx="9">
                  <c:v>0.83507306889352817</c:v>
                </c:pt>
                <c:pt idx="10">
                  <c:v>1.3745704467353952</c:v>
                </c:pt>
                <c:pt idx="11">
                  <c:v>0.25062656641604009</c:v>
                </c:pt>
                <c:pt idx="12">
                  <c:v>1.4124293785310735</c:v>
                </c:pt>
                <c:pt idx="13">
                  <c:v>2.2018348623853212</c:v>
                </c:pt>
                <c:pt idx="14">
                  <c:v>1.2345679012345678</c:v>
                </c:pt>
                <c:pt idx="15">
                  <c:v>1.2820512820512822</c:v>
                </c:pt>
                <c:pt idx="16">
                  <c:v>1.6908212560386473</c:v>
                </c:pt>
                <c:pt idx="17">
                  <c:v>1.3806706114398422</c:v>
                </c:pt>
                <c:pt idx="18">
                  <c:v>2.3809523809523809</c:v>
                </c:pt>
                <c:pt idx="19">
                  <c:v>1.5037593984962405</c:v>
                </c:pt>
                <c:pt idx="20">
                  <c:v>0.92592592592592593</c:v>
                </c:pt>
                <c:pt idx="21">
                  <c:v>1.5414258188824663</c:v>
                </c:pt>
                <c:pt idx="22">
                  <c:v>0</c:v>
                </c:pt>
                <c:pt idx="23">
                  <c:v>1.0135135135135136</c:v>
                </c:pt>
                <c:pt idx="24">
                  <c:v>0.96385542168674698</c:v>
                </c:pt>
                <c:pt idx="25">
                  <c:v>2.0124913254684249</c:v>
                </c:pt>
                <c:pt idx="26">
                  <c:v>1.1620400258231116</c:v>
                </c:pt>
                <c:pt idx="27">
                  <c:v>2.6490066225165565</c:v>
                </c:pt>
                <c:pt idx="28">
                  <c:v>1.834862385321101</c:v>
                </c:pt>
                <c:pt idx="29">
                  <c:v>2.0361990950226243</c:v>
                </c:pt>
                <c:pt idx="30">
                  <c:v>0.99469496021220161</c:v>
                </c:pt>
                <c:pt idx="31">
                  <c:v>2.78372591006424</c:v>
                </c:pt>
                <c:pt idx="32">
                  <c:v>0.81521739130434778</c:v>
                </c:pt>
                <c:pt idx="33">
                  <c:v>0.95389507154213038</c:v>
                </c:pt>
                <c:pt idx="34">
                  <c:v>2.6075619295958279</c:v>
                </c:pt>
                <c:pt idx="35">
                  <c:v>1.4492753623188406</c:v>
                </c:pt>
                <c:pt idx="36">
                  <c:v>1.5100671140939597</c:v>
                </c:pt>
                <c:pt idx="37">
                  <c:v>1.3223140495867769</c:v>
                </c:pt>
                <c:pt idx="38">
                  <c:v>0.66755674232309747</c:v>
                </c:pt>
                <c:pt idx="39">
                  <c:v>1.1583011583011582</c:v>
                </c:pt>
                <c:pt idx="40">
                  <c:v>1.5659955257270695</c:v>
                </c:pt>
                <c:pt idx="41">
                  <c:v>0.8571428571428571</c:v>
                </c:pt>
                <c:pt idx="42">
                  <c:v>1.347305389221557</c:v>
                </c:pt>
                <c:pt idx="43">
                  <c:v>1.3353115727002967</c:v>
                </c:pt>
                <c:pt idx="44">
                  <c:v>0</c:v>
                </c:pt>
                <c:pt idx="45">
                  <c:v>1.5527950310559007</c:v>
                </c:pt>
                <c:pt idx="46">
                  <c:v>3.0425963488843815</c:v>
                </c:pt>
                <c:pt idx="47">
                  <c:v>1.788756388415673</c:v>
                </c:pt>
                <c:pt idx="48">
                  <c:v>2.1314387211367674</c:v>
                </c:pt>
                <c:pt idx="49">
                  <c:v>2.6143790849673203</c:v>
                </c:pt>
                <c:pt idx="50">
                  <c:v>2.8846153846153846</c:v>
                </c:pt>
                <c:pt idx="51">
                  <c:v>2.150537634408602</c:v>
                </c:pt>
                <c:pt idx="52">
                  <c:v>3.278688524590164</c:v>
                </c:pt>
                <c:pt idx="53">
                  <c:v>1.4</c:v>
                </c:pt>
                <c:pt idx="54">
                  <c:v>1.9434628975265018</c:v>
                </c:pt>
                <c:pt idx="55">
                  <c:v>1.2567324955116697</c:v>
                </c:pt>
                <c:pt idx="56">
                  <c:v>1.1235955056179776</c:v>
                </c:pt>
                <c:pt idx="57">
                  <c:v>1.4054813773717498</c:v>
                </c:pt>
                <c:pt idx="58">
                  <c:v>1.5706806282722514</c:v>
                </c:pt>
                <c:pt idx="59">
                  <c:v>1.5053763440860215</c:v>
                </c:pt>
                <c:pt idx="60">
                  <c:v>2.2670025188916876</c:v>
                </c:pt>
                <c:pt idx="61">
                  <c:v>1.2176560121765601</c:v>
                </c:pt>
                <c:pt idx="62">
                  <c:v>1.7821782178217822</c:v>
                </c:pt>
                <c:pt idx="63">
                  <c:v>1.5228426395939085</c:v>
                </c:pt>
                <c:pt idx="64">
                  <c:v>1.6161616161616161</c:v>
                </c:pt>
                <c:pt idx="65">
                  <c:v>1.8907563025210083</c:v>
                </c:pt>
                <c:pt idx="66">
                  <c:v>1.0504201680672269</c:v>
                </c:pt>
                <c:pt idx="67">
                  <c:v>0.94339622641509435</c:v>
                </c:pt>
                <c:pt idx="68">
                  <c:v>0.91954022988505746</c:v>
                </c:pt>
                <c:pt idx="69">
                  <c:v>0.60790273556231</c:v>
                </c:pt>
                <c:pt idx="70">
                  <c:v>3.3333333333333335</c:v>
                </c:pt>
                <c:pt idx="71">
                  <c:v>2.3021582733812949</c:v>
                </c:pt>
                <c:pt idx="72">
                  <c:v>2.1739130434782608</c:v>
                </c:pt>
                <c:pt idx="73">
                  <c:v>1.40625</c:v>
                </c:pt>
                <c:pt idx="74">
                  <c:v>1.7595307917888563</c:v>
                </c:pt>
                <c:pt idx="75">
                  <c:v>1.9607843137254901</c:v>
                </c:pt>
                <c:pt idx="76">
                  <c:v>1.0057471264367817</c:v>
                </c:pt>
                <c:pt idx="77">
                  <c:v>1.6897081413210446</c:v>
                </c:pt>
                <c:pt idx="78">
                  <c:v>1.5197568389057752</c:v>
                </c:pt>
                <c:pt idx="79">
                  <c:v>2.9239766081871346</c:v>
                </c:pt>
                <c:pt idx="80">
                  <c:v>1.9753086419753085</c:v>
                </c:pt>
                <c:pt idx="81">
                  <c:v>3.3132530120481927</c:v>
                </c:pt>
                <c:pt idx="82">
                  <c:v>2.3346303501945527</c:v>
                </c:pt>
                <c:pt idx="83">
                  <c:v>2.8860028860028861</c:v>
                </c:pt>
                <c:pt idx="84">
                  <c:v>1.7027863777089782</c:v>
                </c:pt>
                <c:pt idx="85">
                  <c:v>1.3559322033898304</c:v>
                </c:pt>
                <c:pt idx="86">
                  <c:v>1.2738853503184713</c:v>
                </c:pt>
                <c:pt idx="87">
                  <c:v>1.6513761467889909</c:v>
                </c:pt>
                <c:pt idx="88">
                  <c:v>1.5584415584415585</c:v>
                </c:pt>
                <c:pt idx="89">
                  <c:v>1.856763925729443</c:v>
                </c:pt>
                <c:pt idx="90">
                  <c:v>1.0582010582010581</c:v>
                </c:pt>
                <c:pt idx="91">
                  <c:v>0.56899004267425324</c:v>
                </c:pt>
                <c:pt idx="92">
                  <c:v>1.6949152542372881</c:v>
                </c:pt>
                <c:pt idx="93">
                  <c:v>1.8058690744920993</c:v>
                </c:pt>
                <c:pt idx="94">
                  <c:v>1.9047619047619047</c:v>
                </c:pt>
                <c:pt idx="95">
                  <c:v>1.5909090909090908</c:v>
                </c:pt>
                <c:pt idx="96">
                  <c:v>0.92879256965944268</c:v>
                </c:pt>
                <c:pt idx="97">
                  <c:v>0.94476744186046513</c:v>
                </c:pt>
                <c:pt idx="98">
                  <c:v>0.51993067590987874</c:v>
                </c:pt>
                <c:pt idx="99">
                  <c:v>1.2765957446808511</c:v>
                </c:pt>
                <c:pt idx="100">
                  <c:v>0</c:v>
                </c:pt>
                <c:pt idx="101">
                  <c:v>0.5617977528089888</c:v>
                </c:pt>
                <c:pt idx="102">
                  <c:v>2.0408163265306123</c:v>
                </c:pt>
                <c:pt idx="103">
                  <c:v>0.41152263374485598</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9-36CE-4AFB-9313-7A7B86C5B0D3}"/>
            </c:ext>
          </c:extLst>
        </c:ser>
        <c:ser>
          <c:idx val="6"/>
          <c:order val="10"/>
          <c:tx>
            <c:strRef>
              <c:f>'Дума партии'!$AU$1</c:f>
              <c:strCache>
                <c:ptCount val="1"/>
                <c:pt idx="0">
                  <c:v>Гражданская платф.</c:v>
                </c:pt>
              </c:strCache>
            </c:strRef>
          </c:tx>
          <c:spPr>
            <a:solidFill>
              <a:srgbClr val="FFCC00">
                <a:alpha val="50000"/>
              </a:srgbClr>
            </a:solidFill>
            <a:ln w="25400">
              <a:noFill/>
            </a:ln>
            <a:effectLst/>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партии'!$AU$2:$AU$113</c:f>
              <c:numCache>
                <c:formatCode>0.0</c:formatCode>
                <c:ptCount val="112"/>
                <c:pt idx="0">
                  <c:v>0</c:v>
                </c:pt>
                <c:pt idx="1">
                  <c:v>0.18867924528301888</c:v>
                </c:pt>
                <c:pt idx="2">
                  <c:v>0</c:v>
                </c:pt>
                <c:pt idx="3">
                  <c:v>0</c:v>
                </c:pt>
                <c:pt idx="4">
                  <c:v>0.60728744939271251</c:v>
                </c:pt>
                <c:pt idx="5">
                  <c:v>0</c:v>
                </c:pt>
                <c:pt idx="6">
                  <c:v>0.2012072434607646</c:v>
                </c:pt>
                <c:pt idx="7">
                  <c:v>0.14492753623188406</c:v>
                </c:pt>
                <c:pt idx="8">
                  <c:v>0</c:v>
                </c:pt>
                <c:pt idx="9">
                  <c:v>0.20876826722338204</c:v>
                </c:pt>
                <c:pt idx="10">
                  <c:v>0</c:v>
                </c:pt>
                <c:pt idx="11">
                  <c:v>0</c:v>
                </c:pt>
                <c:pt idx="12">
                  <c:v>0</c:v>
                </c:pt>
                <c:pt idx="13">
                  <c:v>0.3669724770642202</c:v>
                </c:pt>
                <c:pt idx="14">
                  <c:v>0</c:v>
                </c:pt>
                <c:pt idx="15">
                  <c:v>0</c:v>
                </c:pt>
                <c:pt idx="16">
                  <c:v>0.24154589371980675</c:v>
                </c:pt>
                <c:pt idx="17">
                  <c:v>0</c:v>
                </c:pt>
                <c:pt idx="18">
                  <c:v>0</c:v>
                </c:pt>
                <c:pt idx="19">
                  <c:v>0.3007518796992481</c:v>
                </c:pt>
                <c:pt idx="20">
                  <c:v>0</c:v>
                </c:pt>
                <c:pt idx="21">
                  <c:v>0.19267822736030829</c:v>
                </c:pt>
                <c:pt idx="22">
                  <c:v>0</c:v>
                </c:pt>
                <c:pt idx="23">
                  <c:v>0</c:v>
                </c:pt>
                <c:pt idx="24">
                  <c:v>0</c:v>
                </c:pt>
                <c:pt idx="25">
                  <c:v>0.20818875780707841</c:v>
                </c:pt>
                <c:pt idx="26">
                  <c:v>0</c:v>
                </c:pt>
                <c:pt idx="27">
                  <c:v>0.1892147587511826</c:v>
                </c:pt>
                <c:pt idx="28">
                  <c:v>0.1019367991845056</c:v>
                </c:pt>
                <c:pt idx="29">
                  <c:v>0</c:v>
                </c:pt>
                <c:pt idx="30">
                  <c:v>0.13262599469496023</c:v>
                </c:pt>
                <c:pt idx="31">
                  <c:v>0</c:v>
                </c:pt>
                <c:pt idx="32">
                  <c:v>0</c:v>
                </c:pt>
                <c:pt idx="33">
                  <c:v>0.1589825119236884</c:v>
                </c:pt>
                <c:pt idx="34">
                  <c:v>0.2607561929595828</c:v>
                </c:pt>
                <c:pt idx="35">
                  <c:v>0</c:v>
                </c:pt>
                <c:pt idx="36">
                  <c:v>0</c:v>
                </c:pt>
                <c:pt idx="37">
                  <c:v>0.16528925619834711</c:v>
                </c:pt>
                <c:pt idx="38">
                  <c:v>0</c:v>
                </c:pt>
                <c:pt idx="39">
                  <c:v>0.19305019305019305</c:v>
                </c:pt>
                <c:pt idx="40">
                  <c:v>0.5592841163310962</c:v>
                </c:pt>
                <c:pt idx="41">
                  <c:v>0</c:v>
                </c:pt>
                <c:pt idx="42">
                  <c:v>0.1497005988023952</c:v>
                </c:pt>
                <c:pt idx="43">
                  <c:v>0</c:v>
                </c:pt>
                <c:pt idx="44">
                  <c:v>0.22026431718061673</c:v>
                </c:pt>
                <c:pt idx="45">
                  <c:v>0.3105590062111801</c:v>
                </c:pt>
                <c:pt idx="46">
                  <c:v>0.60851926977687631</c:v>
                </c:pt>
                <c:pt idx="47">
                  <c:v>0.51107325383304936</c:v>
                </c:pt>
                <c:pt idx="48">
                  <c:v>0</c:v>
                </c:pt>
                <c:pt idx="49">
                  <c:v>0</c:v>
                </c:pt>
                <c:pt idx="50">
                  <c:v>0</c:v>
                </c:pt>
                <c:pt idx="51">
                  <c:v>0</c:v>
                </c:pt>
                <c:pt idx="52">
                  <c:v>0</c:v>
                </c:pt>
                <c:pt idx="53">
                  <c:v>0</c:v>
                </c:pt>
                <c:pt idx="54">
                  <c:v>0</c:v>
                </c:pt>
                <c:pt idx="55">
                  <c:v>0.35906642728904847</c:v>
                </c:pt>
                <c:pt idx="56">
                  <c:v>0.43215211754537597</c:v>
                </c:pt>
                <c:pt idx="57">
                  <c:v>0.14054813773717498</c:v>
                </c:pt>
                <c:pt idx="58">
                  <c:v>0.22438294689603591</c:v>
                </c:pt>
                <c:pt idx="59">
                  <c:v>0.43010752688172044</c:v>
                </c:pt>
                <c:pt idx="60">
                  <c:v>0</c:v>
                </c:pt>
                <c:pt idx="61">
                  <c:v>0</c:v>
                </c:pt>
                <c:pt idx="62">
                  <c:v>0.39603960396039606</c:v>
                </c:pt>
                <c:pt idx="63">
                  <c:v>0.25380710659898476</c:v>
                </c:pt>
                <c:pt idx="64">
                  <c:v>0</c:v>
                </c:pt>
                <c:pt idx="65">
                  <c:v>0</c:v>
                </c:pt>
                <c:pt idx="66">
                  <c:v>0</c:v>
                </c:pt>
                <c:pt idx="67">
                  <c:v>0</c:v>
                </c:pt>
                <c:pt idx="68">
                  <c:v>0</c:v>
                </c:pt>
                <c:pt idx="69">
                  <c:v>0</c:v>
                </c:pt>
                <c:pt idx="70">
                  <c:v>0</c:v>
                </c:pt>
                <c:pt idx="71">
                  <c:v>0.28776978417266186</c:v>
                </c:pt>
                <c:pt idx="72">
                  <c:v>0</c:v>
                </c:pt>
                <c:pt idx="73">
                  <c:v>0</c:v>
                </c:pt>
                <c:pt idx="74">
                  <c:v>0.2932551319648094</c:v>
                </c:pt>
                <c:pt idx="75">
                  <c:v>0.28011204481792717</c:v>
                </c:pt>
                <c:pt idx="76">
                  <c:v>0</c:v>
                </c:pt>
                <c:pt idx="77">
                  <c:v>0</c:v>
                </c:pt>
                <c:pt idx="78">
                  <c:v>0</c:v>
                </c:pt>
                <c:pt idx="79">
                  <c:v>0</c:v>
                </c:pt>
                <c:pt idx="80">
                  <c:v>0</c:v>
                </c:pt>
                <c:pt idx="81">
                  <c:v>0.30120481927710846</c:v>
                </c:pt>
                <c:pt idx="82">
                  <c:v>0</c:v>
                </c:pt>
                <c:pt idx="83">
                  <c:v>0.14430014430014429</c:v>
                </c:pt>
                <c:pt idx="84">
                  <c:v>0</c:v>
                </c:pt>
                <c:pt idx="85">
                  <c:v>0</c:v>
                </c:pt>
                <c:pt idx="86">
                  <c:v>0</c:v>
                </c:pt>
                <c:pt idx="87">
                  <c:v>0.55045871559633031</c:v>
                </c:pt>
                <c:pt idx="88">
                  <c:v>0</c:v>
                </c:pt>
                <c:pt idx="89">
                  <c:v>0.5305039787798409</c:v>
                </c:pt>
                <c:pt idx="90">
                  <c:v>0.26455026455026454</c:v>
                </c:pt>
                <c:pt idx="91">
                  <c:v>0.28449502133712662</c:v>
                </c:pt>
                <c:pt idx="92">
                  <c:v>0.18832391713747645</c:v>
                </c:pt>
                <c:pt idx="93">
                  <c:v>0</c:v>
                </c:pt>
                <c:pt idx="94">
                  <c:v>0.47619047619047616</c:v>
                </c:pt>
                <c:pt idx="95">
                  <c:v>0.45454545454545453</c:v>
                </c:pt>
                <c:pt idx="96">
                  <c:v>0.30959752321981426</c:v>
                </c:pt>
                <c:pt idx="97">
                  <c:v>7.2674418604651167E-2</c:v>
                </c:pt>
                <c:pt idx="98">
                  <c:v>0.1733102253032929</c:v>
                </c:pt>
                <c:pt idx="99">
                  <c:v>0</c:v>
                </c:pt>
                <c:pt idx="100">
                  <c:v>0</c:v>
                </c:pt>
                <c:pt idx="101">
                  <c:v>0</c:v>
                </c:pt>
                <c:pt idx="102">
                  <c:v>0</c:v>
                </c:pt>
                <c:pt idx="103">
                  <c:v>0</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A-36CE-4AFB-9313-7A7B86C5B0D3}"/>
            </c:ext>
          </c:extLst>
        </c:ser>
        <c:ser>
          <c:idx val="7"/>
          <c:order val="11"/>
          <c:tx>
            <c:strRef>
              <c:f>'Дума партии'!$AW$1</c:f>
              <c:strCache>
                <c:ptCount val="1"/>
                <c:pt idx="0">
                  <c:v>Зеленая альт.</c:v>
                </c:pt>
              </c:strCache>
            </c:strRef>
          </c:tx>
          <c:spPr>
            <a:solidFill>
              <a:srgbClr val="99CC00">
                <a:alpha val="49804"/>
              </a:srgbClr>
            </a:solidFill>
            <a:ln w="25400">
              <a:noFill/>
            </a:ln>
            <a:effectLst/>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партии'!$AW$2:$AW$113</c:f>
              <c:numCache>
                <c:formatCode>0.0</c:formatCode>
                <c:ptCount val="112"/>
                <c:pt idx="0">
                  <c:v>0</c:v>
                </c:pt>
                <c:pt idx="1">
                  <c:v>1.8867924528301887</c:v>
                </c:pt>
                <c:pt idx="2">
                  <c:v>0.22573363431151242</c:v>
                </c:pt>
                <c:pt idx="3">
                  <c:v>0.65040650406504064</c:v>
                </c:pt>
                <c:pt idx="4">
                  <c:v>1.8218623481781377</c:v>
                </c:pt>
                <c:pt idx="5">
                  <c:v>1.5625</c:v>
                </c:pt>
                <c:pt idx="6">
                  <c:v>0.60362173038229372</c:v>
                </c:pt>
                <c:pt idx="7">
                  <c:v>1.4492753623188406</c:v>
                </c:pt>
                <c:pt idx="8">
                  <c:v>0.87260034904013961</c:v>
                </c:pt>
                <c:pt idx="9">
                  <c:v>1.0438413361169103</c:v>
                </c:pt>
                <c:pt idx="10">
                  <c:v>1.2027491408934707</c:v>
                </c:pt>
                <c:pt idx="11">
                  <c:v>0.25062656641604009</c:v>
                </c:pt>
                <c:pt idx="12">
                  <c:v>1.9774011299435028</c:v>
                </c:pt>
                <c:pt idx="13">
                  <c:v>0.73394495412844041</c:v>
                </c:pt>
                <c:pt idx="14">
                  <c:v>0.7407407407407407</c:v>
                </c:pt>
                <c:pt idx="15">
                  <c:v>1.4957264957264957</c:v>
                </c:pt>
                <c:pt idx="16">
                  <c:v>0.96618357487922701</c:v>
                </c:pt>
                <c:pt idx="17">
                  <c:v>1.1834319526627219</c:v>
                </c:pt>
                <c:pt idx="18">
                  <c:v>0</c:v>
                </c:pt>
                <c:pt idx="19">
                  <c:v>0.90225563909774431</c:v>
                </c:pt>
                <c:pt idx="20">
                  <c:v>0.92592592592592593</c:v>
                </c:pt>
                <c:pt idx="21">
                  <c:v>2.3121387283236996</c:v>
                </c:pt>
                <c:pt idx="22">
                  <c:v>0</c:v>
                </c:pt>
                <c:pt idx="23">
                  <c:v>0.33783783783783783</c:v>
                </c:pt>
                <c:pt idx="24">
                  <c:v>0.72289156626506024</c:v>
                </c:pt>
                <c:pt idx="25">
                  <c:v>1.1103400416377516</c:v>
                </c:pt>
                <c:pt idx="26">
                  <c:v>0.25823111684958039</c:v>
                </c:pt>
                <c:pt idx="27">
                  <c:v>0.3784295175023652</c:v>
                </c:pt>
                <c:pt idx="28">
                  <c:v>0.7135575942915392</c:v>
                </c:pt>
                <c:pt idx="29">
                  <c:v>0.45248868778280543</c:v>
                </c:pt>
                <c:pt idx="30">
                  <c:v>0.72944297082228116</c:v>
                </c:pt>
                <c:pt idx="31">
                  <c:v>1.9271948608137044</c:v>
                </c:pt>
                <c:pt idx="32">
                  <c:v>0.81521739130434778</c:v>
                </c:pt>
                <c:pt idx="33">
                  <c:v>0.1589825119236884</c:v>
                </c:pt>
                <c:pt idx="34">
                  <c:v>1.4341590612777053</c:v>
                </c:pt>
                <c:pt idx="35">
                  <c:v>0.86956521739130432</c:v>
                </c:pt>
                <c:pt idx="36">
                  <c:v>0.67114093959731547</c:v>
                </c:pt>
                <c:pt idx="37">
                  <c:v>0.66115702479338845</c:v>
                </c:pt>
                <c:pt idx="38">
                  <c:v>0.66755674232309747</c:v>
                </c:pt>
                <c:pt idx="39">
                  <c:v>0.5791505791505791</c:v>
                </c:pt>
                <c:pt idx="40">
                  <c:v>1.3422818791946309</c:v>
                </c:pt>
                <c:pt idx="41">
                  <c:v>1.1428571428571428</c:v>
                </c:pt>
                <c:pt idx="42">
                  <c:v>0.29940119760479039</c:v>
                </c:pt>
                <c:pt idx="43">
                  <c:v>0.44510385756676557</c:v>
                </c:pt>
                <c:pt idx="44">
                  <c:v>0.66079295154185025</c:v>
                </c:pt>
                <c:pt idx="45">
                  <c:v>1.0869565217391304</c:v>
                </c:pt>
                <c:pt idx="46">
                  <c:v>1.8255578093306288</c:v>
                </c:pt>
                <c:pt idx="47">
                  <c:v>1.788756388415673</c:v>
                </c:pt>
                <c:pt idx="48">
                  <c:v>1.0657193605683837</c:v>
                </c:pt>
                <c:pt idx="49">
                  <c:v>0.2178649237472767</c:v>
                </c:pt>
                <c:pt idx="50">
                  <c:v>0.96153846153846156</c:v>
                </c:pt>
                <c:pt idx="51">
                  <c:v>0</c:v>
                </c:pt>
                <c:pt idx="52">
                  <c:v>0</c:v>
                </c:pt>
                <c:pt idx="53">
                  <c:v>1</c:v>
                </c:pt>
                <c:pt idx="54">
                  <c:v>1.0600706713780919</c:v>
                </c:pt>
                <c:pt idx="55">
                  <c:v>0.89766606822262118</c:v>
                </c:pt>
                <c:pt idx="56">
                  <c:v>0.86430423509075194</c:v>
                </c:pt>
                <c:pt idx="57">
                  <c:v>0.56219255094869991</c:v>
                </c:pt>
                <c:pt idx="58">
                  <c:v>1.0471204188481675</c:v>
                </c:pt>
                <c:pt idx="59">
                  <c:v>0.86021505376344087</c:v>
                </c:pt>
                <c:pt idx="60">
                  <c:v>1.0075566750629723</c:v>
                </c:pt>
                <c:pt idx="61">
                  <c:v>0.30441400304414001</c:v>
                </c:pt>
                <c:pt idx="62">
                  <c:v>1.1881188118811881</c:v>
                </c:pt>
                <c:pt idx="63">
                  <c:v>1.015228426395939</c:v>
                </c:pt>
                <c:pt idx="64">
                  <c:v>1.0101010101010102</c:v>
                </c:pt>
                <c:pt idx="65">
                  <c:v>2.1008403361344539</c:v>
                </c:pt>
                <c:pt idx="66">
                  <c:v>0.84033613445378152</c:v>
                </c:pt>
                <c:pt idx="67">
                  <c:v>0.94339622641509435</c:v>
                </c:pt>
                <c:pt idx="68">
                  <c:v>0.45977011494252873</c:v>
                </c:pt>
                <c:pt idx="69">
                  <c:v>0.60790273556231</c:v>
                </c:pt>
                <c:pt idx="70">
                  <c:v>1.3333333333333333</c:v>
                </c:pt>
                <c:pt idx="71">
                  <c:v>0.57553956834532372</c:v>
                </c:pt>
                <c:pt idx="72">
                  <c:v>0.48309178743961351</c:v>
                </c:pt>
                <c:pt idx="73">
                  <c:v>0.9375</c:v>
                </c:pt>
                <c:pt idx="74">
                  <c:v>1.0263929618768328</c:v>
                </c:pt>
                <c:pt idx="75">
                  <c:v>0.84033613445378152</c:v>
                </c:pt>
                <c:pt idx="76">
                  <c:v>0.43103448275862066</c:v>
                </c:pt>
                <c:pt idx="77">
                  <c:v>1.228878648233487</c:v>
                </c:pt>
                <c:pt idx="78">
                  <c:v>0.45592705167173253</c:v>
                </c:pt>
                <c:pt idx="79">
                  <c:v>0</c:v>
                </c:pt>
                <c:pt idx="80">
                  <c:v>0.7407407407407407</c:v>
                </c:pt>
                <c:pt idx="81">
                  <c:v>0.90361445783132532</c:v>
                </c:pt>
                <c:pt idx="82">
                  <c:v>0</c:v>
                </c:pt>
                <c:pt idx="83">
                  <c:v>0.72150072150072153</c:v>
                </c:pt>
                <c:pt idx="84">
                  <c:v>0.61919504643962853</c:v>
                </c:pt>
                <c:pt idx="85">
                  <c:v>0.33898305084745761</c:v>
                </c:pt>
                <c:pt idx="86">
                  <c:v>1.4331210191082802</c:v>
                </c:pt>
                <c:pt idx="87">
                  <c:v>0.91743119266055051</c:v>
                </c:pt>
                <c:pt idx="88">
                  <c:v>2.0779220779220777</c:v>
                </c:pt>
                <c:pt idx="89">
                  <c:v>0.79575596816976124</c:v>
                </c:pt>
                <c:pt idx="90">
                  <c:v>1.0582010582010581</c:v>
                </c:pt>
                <c:pt idx="91">
                  <c:v>0.28449502133712662</c:v>
                </c:pt>
                <c:pt idx="92">
                  <c:v>0.56497175141242939</c:v>
                </c:pt>
                <c:pt idx="93">
                  <c:v>1.8058690744920993</c:v>
                </c:pt>
                <c:pt idx="94">
                  <c:v>0.95238095238095233</c:v>
                </c:pt>
                <c:pt idx="95">
                  <c:v>0.90909090909090906</c:v>
                </c:pt>
                <c:pt idx="96">
                  <c:v>0.74303405572755421</c:v>
                </c:pt>
                <c:pt idx="97">
                  <c:v>0.94476744186046513</c:v>
                </c:pt>
                <c:pt idx="98">
                  <c:v>0.34662045060658581</c:v>
                </c:pt>
                <c:pt idx="99">
                  <c:v>0.85106382978723405</c:v>
                </c:pt>
                <c:pt idx="100">
                  <c:v>0</c:v>
                </c:pt>
                <c:pt idx="101">
                  <c:v>0</c:v>
                </c:pt>
                <c:pt idx="102">
                  <c:v>0.51020408163265307</c:v>
                </c:pt>
                <c:pt idx="103">
                  <c:v>2.4691358024691357</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B-36CE-4AFB-9313-7A7B86C5B0D3}"/>
            </c:ext>
          </c:extLst>
        </c:ser>
        <c:ser>
          <c:idx val="2"/>
          <c:order val="12"/>
          <c:tx>
            <c:strRef>
              <c:f>'Дума партии'!$AY$1</c:f>
              <c:strCache>
                <c:ptCount val="1"/>
                <c:pt idx="0">
                  <c:v>Родина</c:v>
                </c:pt>
              </c:strCache>
            </c:strRef>
          </c:tx>
          <c:spPr>
            <a:solidFill>
              <a:srgbClr val="9900FF">
                <a:alpha val="49804"/>
              </a:srgbClr>
            </a:solidFill>
            <a:ln w="25400">
              <a:noFill/>
            </a:ln>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партии'!$AY$2:$AY$113</c:f>
              <c:numCache>
                <c:formatCode>0.0</c:formatCode>
                <c:ptCount val="112"/>
                <c:pt idx="0">
                  <c:v>0.35714285714285715</c:v>
                </c:pt>
                <c:pt idx="1">
                  <c:v>1.1320754716981132</c:v>
                </c:pt>
                <c:pt idx="2">
                  <c:v>0.90293453724604966</c:v>
                </c:pt>
                <c:pt idx="3">
                  <c:v>1.3008130081300813</c:v>
                </c:pt>
                <c:pt idx="4">
                  <c:v>1.8218623481781377</c:v>
                </c:pt>
                <c:pt idx="5">
                  <c:v>0.86805555555555558</c:v>
                </c:pt>
                <c:pt idx="6">
                  <c:v>1.6096579476861168</c:v>
                </c:pt>
                <c:pt idx="7">
                  <c:v>1.1594202898550725</c:v>
                </c:pt>
                <c:pt idx="8">
                  <c:v>1.5706806282722514</c:v>
                </c:pt>
                <c:pt idx="9">
                  <c:v>0.41753653444676408</c:v>
                </c:pt>
                <c:pt idx="10">
                  <c:v>0.85910652920962194</c:v>
                </c:pt>
                <c:pt idx="11">
                  <c:v>0.50125313283208017</c:v>
                </c:pt>
                <c:pt idx="12">
                  <c:v>1.4124293785310735</c:v>
                </c:pt>
                <c:pt idx="13">
                  <c:v>1.4678899082568808</c:v>
                </c:pt>
                <c:pt idx="14">
                  <c:v>0.98765432098765427</c:v>
                </c:pt>
                <c:pt idx="15">
                  <c:v>1.4957264957264957</c:v>
                </c:pt>
                <c:pt idx="16">
                  <c:v>1.4492753623188406</c:v>
                </c:pt>
                <c:pt idx="17">
                  <c:v>0.19723865877712032</c:v>
                </c:pt>
                <c:pt idx="18">
                  <c:v>0</c:v>
                </c:pt>
                <c:pt idx="19">
                  <c:v>1.6541353383458646</c:v>
                </c:pt>
                <c:pt idx="20">
                  <c:v>1.2345679012345678</c:v>
                </c:pt>
                <c:pt idx="21">
                  <c:v>1.1560693641618498</c:v>
                </c:pt>
                <c:pt idx="22">
                  <c:v>0</c:v>
                </c:pt>
                <c:pt idx="23">
                  <c:v>1.3513513513513513</c:v>
                </c:pt>
                <c:pt idx="24">
                  <c:v>2.1686746987951806</c:v>
                </c:pt>
                <c:pt idx="25">
                  <c:v>0.55517002081887579</c:v>
                </c:pt>
                <c:pt idx="26">
                  <c:v>0.51646223369916078</c:v>
                </c:pt>
                <c:pt idx="27">
                  <c:v>0.66225165562913912</c:v>
                </c:pt>
                <c:pt idx="28">
                  <c:v>0.91743119266055051</c:v>
                </c:pt>
                <c:pt idx="29">
                  <c:v>0.90497737556561086</c:v>
                </c:pt>
                <c:pt idx="30">
                  <c:v>0.5305039787798409</c:v>
                </c:pt>
                <c:pt idx="31">
                  <c:v>1.2847965738758029</c:v>
                </c:pt>
                <c:pt idx="32">
                  <c:v>0.81521739130434778</c:v>
                </c:pt>
                <c:pt idx="33">
                  <c:v>0.79491255961844198</c:v>
                </c:pt>
                <c:pt idx="34">
                  <c:v>1.4341590612777053</c:v>
                </c:pt>
                <c:pt idx="35">
                  <c:v>0.86956521739130432</c:v>
                </c:pt>
                <c:pt idx="36">
                  <c:v>1.174496644295302</c:v>
                </c:pt>
                <c:pt idx="37">
                  <c:v>0.66115702479338845</c:v>
                </c:pt>
                <c:pt idx="38">
                  <c:v>0.53404539385847793</c:v>
                </c:pt>
                <c:pt idx="39">
                  <c:v>1.1583011583011582</c:v>
                </c:pt>
                <c:pt idx="40">
                  <c:v>0.89485458612975388</c:v>
                </c:pt>
                <c:pt idx="41">
                  <c:v>1.7142857142857142</c:v>
                </c:pt>
                <c:pt idx="42">
                  <c:v>0.29940119760479039</c:v>
                </c:pt>
                <c:pt idx="43">
                  <c:v>1.3353115727002967</c:v>
                </c:pt>
                <c:pt idx="44">
                  <c:v>0.66079295154185025</c:v>
                </c:pt>
                <c:pt idx="45">
                  <c:v>0.77639751552795033</c:v>
                </c:pt>
                <c:pt idx="46">
                  <c:v>1.4198782961460445</c:v>
                </c:pt>
                <c:pt idx="47">
                  <c:v>0.68143100511073251</c:v>
                </c:pt>
                <c:pt idx="48">
                  <c:v>0.88809946714031973</c:v>
                </c:pt>
                <c:pt idx="49">
                  <c:v>1.0893246187363834</c:v>
                </c:pt>
                <c:pt idx="50">
                  <c:v>0.96153846153846156</c:v>
                </c:pt>
                <c:pt idx="51">
                  <c:v>0</c:v>
                </c:pt>
                <c:pt idx="52">
                  <c:v>3.278688524590164</c:v>
                </c:pt>
                <c:pt idx="53">
                  <c:v>1.6</c:v>
                </c:pt>
                <c:pt idx="54">
                  <c:v>1.0600706713780919</c:v>
                </c:pt>
                <c:pt idx="55">
                  <c:v>1.4362657091561939</c:v>
                </c:pt>
                <c:pt idx="56">
                  <c:v>0.51858254105445112</c:v>
                </c:pt>
                <c:pt idx="57">
                  <c:v>0</c:v>
                </c:pt>
                <c:pt idx="58">
                  <c:v>0.67314884068810765</c:v>
                </c:pt>
                <c:pt idx="59">
                  <c:v>0.86021505376344087</c:v>
                </c:pt>
                <c:pt idx="60">
                  <c:v>0.50377833753148615</c:v>
                </c:pt>
                <c:pt idx="61">
                  <c:v>0.76103500761035003</c:v>
                </c:pt>
                <c:pt idx="62">
                  <c:v>0.39603960396039606</c:v>
                </c:pt>
                <c:pt idx="63">
                  <c:v>1.015228426395939</c:v>
                </c:pt>
                <c:pt idx="64">
                  <c:v>1.0101010101010102</c:v>
                </c:pt>
                <c:pt idx="65">
                  <c:v>2.1008403361344539</c:v>
                </c:pt>
                <c:pt idx="66">
                  <c:v>1.8907563025210083</c:v>
                </c:pt>
                <c:pt idx="67">
                  <c:v>1.8867924528301887</c:v>
                </c:pt>
                <c:pt idx="68">
                  <c:v>1.1494252873563218</c:v>
                </c:pt>
                <c:pt idx="69">
                  <c:v>0</c:v>
                </c:pt>
                <c:pt idx="70">
                  <c:v>1.3333333333333333</c:v>
                </c:pt>
                <c:pt idx="71">
                  <c:v>1.0071942446043165</c:v>
                </c:pt>
                <c:pt idx="72">
                  <c:v>0</c:v>
                </c:pt>
                <c:pt idx="73">
                  <c:v>0.78125</c:v>
                </c:pt>
                <c:pt idx="74">
                  <c:v>0.1466275659824047</c:v>
                </c:pt>
                <c:pt idx="75">
                  <c:v>0.28011204481792717</c:v>
                </c:pt>
                <c:pt idx="76">
                  <c:v>0.7183908045977011</c:v>
                </c:pt>
                <c:pt idx="77">
                  <c:v>1.075268817204301</c:v>
                </c:pt>
                <c:pt idx="78">
                  <c:v>0.75987841945288759</c:v>
                </c:pt>
                <c:pt idx="79">
                  <c:v>0.29239766081871343</c:v>
                </c:pt>
                <c:pt idx="80">
                  <c:v>0.24691358024691357</c:v>
                </c:pt>
                <c:pt idx="81">
                  <c:v>0.30120481927710846</c:v>
                </c:pt>
                <c:pt idx="82">
                  <c:v>0</c:v>
                </c:pt>
                <c:pt idx="83">
                  <c:v>0.86580086580086579</c:v>
                </c:pt>
                <c:pt idx="84">
                  <c:v>1.5479876160990713</c:v>
                </c:pt>
                <c:pt idx="85">
                  <c:v>1.6949152542372881</c:v>
                </c:pt>
                <c:pt idx="86">
                  <c:v>1.5923566878980893</c:v>
                </c:pt>
                <c:pt idx="87">
                  <c:v>2.2018348623853212</c:v>
                </c:pt>
                <c:pt idx="88">
                  <c:v>1.5584415584415585</c:v>
                </c:pt>
                <c:pt idx="89">
                  <c:v>1.0610079575596818</c:v>
                </c:pt>
                <c:pt idx="90">
                  <c:v>1.5873015873015872</c:v>
                </c:pt>
                <c:pt idx="91">
                  <c:v>0.99573257467994314</c:v>
                </c:pt>
                <c:pt idx="92">
                  <c:v>0.94161958568738224</c:v>
                </c:pt>
                <c:pt idx="93">
                  <c:v>0.22573363431151242</c:v>
                </c:pt>
                <c:pt idx="94">
                  <c:v>1.6666666666666667</c:v>
                </c:pt>
                <c:pt idx="95">
                  <c:v>0.45454545454545453</c:v>
                </c:pt>
                <c:pt idx="96">
                  <c:v>1.2383900928792571</c:v>
                </c:pt>
                <c:pt idx="97">
                  <c:v>0.87209302325581395</c:v>
                </c:pt>
                <c:pt idx="98">
                  <c:v>0.60658578856152512</c:v>
                </c:pt>
                <c:pt idx="99">
                  <c:v>2.1276595744680851</c:v>
                </c:pt>
                <c:pt idx="100">
                  <c:v>0</c:v>
                </c:pt>
                <c:pt idx="101">
                  <c:v>0</c:v>
                </c:pt>
                <c:pt idx="102">
                  <c:v>0.51020408163265307</c:v>
                </c:pt>
                <c:pt idx="103">
                  <c:v>0.41152263374485598</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C-36CE-4AFB-9313-7A7B86C5B0D3}"/>
            </c:ext>
          </c:extLst>
        </c:ser>
        <c:ser>
          <c:idx val="3"/>
          <c:order val="13"/>
          <c:tx>
            <c:strRef>
              <c:f>'Дума партии'!$BA$1</c:f>
              <c:strCache>
                <c:ptCount val="1"/>
                <c:pt idx="0">
                  <c:v>Пенсионеров</c:v>
                </c:pt>
              </c:strCache>
            </c:strRef>
          </c:tx>
          <c:spPr>
            <a:solidFill>
              <a:srgbClr val="996633">
                <a:alpha val="49804"/>
              </a:srgbClr>
            </a:solidFill>
            <a:ln w="25400"/>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партии'!$BA$2:$BA$113</c:f>
              <c:numCache>
                <c:formatCode>0.0</c:formatCode>
                <c:ptCount val="112"/>
                <c:pt idx="0">
                  <c:v>2.1428571428571428</c:v>
                </c:pt>
                <c:pt idx="1">
                  <c:v>2.641509433962264</c:v>
                </c:pt>
                <c:pt idx="2">
                  <c:v>2.9345372460496613</c:v>
                </c:pt>
                <c:pt idx="3">
                  <c:v>2.4390243902439024</c:v>
                </c:pt>
                <c:pt idx="4">
                  <c:v>2.2267206477732793</c:v>
                </c:pt>
                <c:pt idx="5">
                  <c:v>4.8611111111111107</c:v>
                </c:pt>
                <c:pt idx="6">
                  <c:v>4.4265593561368206</c:v>
                </c:pt>
                <c:pt idx="7">
                  <c:v>4.0579710144927539</c:v>
                </c:pt>
                <c:pt idx="8">
                  <c:v>2.7923211169284468</c:v>
                </c:pt>
                <c:pt idx="9">
                  <c:v>2.9227557411273488</c:v>
                </c:pt>
                <c:pt idx="10">
                  <c:v>5.3264604810996561</c:v>
                </c:pt>
                <c:pt idx="11">
                  <c:v>1.0025062656641603</c:v>
                </c:pt>
                <c:pt idx="12">
                  <c:v>4.2372881355932206</c:v>
                </c:pt>
                <c:pt idx="13">
                  <c:v>3.3027522935779818</c:v>
                </c:pt>
                <c:pt idx="14">
                  <c:v>3.9506172839506171</c:v>
                </c:pt>
                <c:pt idx="15">
                  <c:v>3.8461538461538463</c:v>
                </c:pt>
                <c:pt idx="16">
                  <c:v>4.3478260869565215</c:v>
                </c:pt>
                <c:pt idx="17">
                  <c:v>3.3530571992110452</c:v>
                </c:pt>
                <c:pt idx="18">
                  <c:v>0</c:v>
                </c:pt>
                <c:pt idx="19">
                  <c:v>3.4586466165413534</c:v>
                </c:pt>
                <c:pt idx="20">
                  <c:v>4.4753086419753085</c:v>
                </c:pt>
                <c:pt idx="21">
                  <c:v>4.6242774566473992</c:v>
                </c:pt>
                <c:pt idx="22">
                  <c:v>0</c:v>
                </c:pt>
                <c:pt idx="23">
                  <c:v>1.3513513513513513</c:v>
                </c:pt>
                <c:pt idx="24">
                  <c:v>5.7831325301204819</c:v>
                </c:pt>
                <c:pt idx="25">
                  <c:v>2.0818875780707842</c:v>
                </c:pt>
                <c:pt idx="26">
                  <c:v>2.0658489347966431</c:v>
                </c:pt>
                <c:pt idx="27">
                  <c:v>2.0813623462630084</c:v>
                </c:pt>
                <c:pt idx="28">
                  <c:v>3.4658511722731906</c:v>
                </c:pt>
                <c:pt idx="29">
                  <c:v>5.6561085972850682</c:v>
                </c:pt>
                <c:pt idx="30">
                  <c:v>1.790450928381963</c:v>
                </c:pt>
                <c:pt idx="31">
                  <c:v>3.6402569593147751</c:v>
                </c:pt>
                <c:pt idx="32">
                  <c:v>1.9021739130434783</c:v>
                </c:pt>
                <c:pt idx="33">
                  <c:v>2.3847376788553261</c:v>
                </c:pt>
                <c:pt idx="34">
                  <c:v>1.955671447196871</c:v>
                </c:pt>
                <c:pt idx="35">
                  <c:v>2.1739130434782608</c:v>
                </c:pt>
                <c:pt idx="36">
                  <c:v>2.1812080536912752</c:v>
                </c:pt>
                <c:pt idx="37">
                  <c:v>1.8181818181818181</c:v>
                </c:pt>
                <c:pt idx="38">
                  <c:v>3.0707610146862483</c:v>
                </c:pt>
                <c:pt idx="39">
                  <c:v>2.8957528957528957</c:v>
                </c:pt>
                <c:pt idx="40">
                  <c:v>2.4608501118568231</c:v>
                </c:pt>
                <c:pt idx="41">
                  <c:v>3.4285714285714284</c:v>
                </c:pt>
                <c:pt idx="42">
                  <c:v>1.1976047904191616</c:v>
                </c:pt>
                <c:pt idx="43">
                  <c:v>1.7804154302670623</c:v>
                </c:pt>
                <c:pt idx="44">
                  <c:v>6.3876651982378858</c:v>
                </c:pt>
                <c:pt idx="45">
                  <c:v>1.8633540372670807</c:v>
                </c:pt>
                <c:pt idx="46">
                  <c:v>5.0709939148073024</c:v>
                </c:pt>
                <c:pt idx="47">
                  <c:v>1.362862010221465</c:v>
                </c:pt>
                <c:pt idx="48">
                  <c:v>3.7300177619893429</c:v>
                </c:pt>
                <c:pt idx="49">
                  <c:v>6.5359477124183005</c:v>
                </c:pt>
                <c:pt idx="50">
                  <c:v>4.8076923076923075</c:v>
                </c:pt>
                <c:pt idx="51">
                  <c:v>3.225806451612903</c:v>
                </c:pt>
                <c:pt idx="52">
                  <c:v>2.459016393442623</c:v>
                </c:pt>
                <c:pt idx="53">
                  <c:v>3.8</c:v>
                </c:pt>
                <c:pt idx="54">
                  <c:v>4.0636042402826851</c:v>
                </c:pt>
                <c:pt idx="55">
                  <c:v>4.8473967684021542</c:v>
                </c:pt>
                <c:pt idx="56">
                  <c:v>2.8522039757994815</c:v>
                </c:pt>
                <c:pt idx="57">
                  <c:v>2.1082220660576247</c:v>
                </c:pt>
                <c:pt idx="58">
                  <c:v>1.8698578908002992</c:v>
                </c:pt>
                <c:pt idx="59">
                  <c:v>2.150537634408602</c:v>
                </c:pt>
                <c:pt idx="60">
                  <c:v>3.7783375314861463</c:v>
                </c:pt>
                <c:pt idx="61">
                  <c:v>3.0441400304414001</c:v>
                </c:pt>
                <c:pt idx="62">
                  <c:v>5.1485148514851486</c:v>
                </c:pt>
                <c:pt idx="63">
                  <c:v>3.2994923857868019</c:v>
                </c:pt>
                <c:pt idx="64">
                  <c:v>4.2424242424242422</c:v>
                </c:pt>
                <c:pt idx="65">
                  <c:v>3.1512605042016806</c:v>
                </c:pt>
                <c:pt idx="66">
                  <c:v>3.7815126050420167</c:v>
                </c:pt>
                <c:pt idx="67">
                  <c:v>3.7735849056603774</c:v>
                </c:pt>
                <c:pt idx="68">
                  <c:v>2.7586206896551726</c:v>
                </c:pt>
                <c:pt idx="69">
                  <c:v>3.9513677811550152</c:v>
                </c:pt>
                <c:pt idx="70">
                  <c:v>3.3333333333333335</c:v>
                </c:pt>
                <c:pt idx="71">
                  <c:v>2.5899280575539567</c:v>
                </c:pt>
                <c:pt idx="72">
                  <c:v>0.72463768115942029</c:v>
                </c:pt>
                <c:pt idx="73">
                  <c:v>3.59375</c:v>
                </c:pt>
                <c:pt idx="74">
                  <c:v>2.7859237536656893</c:v>
                </c:pt>
                <c:pt idx="75">
                  <c:v>1.9607843137254901</c:v>
                </c:pt>
                <c:pt idx="76">
                  <c:v>2.5862068965517242</c:v>
                </c:pt>
                <c:pt idx="77">
                  <c:v>2.4577572964669741</c:v>
                </c:pt>
                <c:pt idx="78">
                  <c:v>4.1033434650455929</c:v>
                </c:pt>
                <c:pt idx="79">
                  <c:v>1.4619883040935673</c:v>
                </c:pt>
                <c:pt idx="80">
                  <c:v>3.7037037037037037</c:v>
                </c:pt>
                <c:pt idx="81">
                  <c:v>3.3132530120481927</c:v>
                </c:pt>
                <c:pt idx="82">
                  <c:v>0.77821011673151752</c:v>
                </c:pt>
                <c:pt idx="83">
                  <c:v>5.1948051948051948</c:v>
                </c:pt>
                <c:pt idx="84">
                  <c:v>5.5727554179566567</c:v>
                </c:pt>
                <c:pt idx="85">
                  <c:v>4.406779661016949</c:v>
                </c:pt>
                <c:pt idx="86">
                  <c:v>5.4140127388535033</c:v>
                </c:pt>
                <c:pt idx="87">
                  <c:v>5.3211009174311927</c:v>
                </c:pt>
                <c:pt idx="88">
                  <c:v>2.8571428571428572</c:v>
                </c:pt>
                <c:pt idx="89">
                  <c:v>2.3872679045092839</c:v>
                </c:pt>
                <c:pt idx="90">
                  <c:v>4.4973544973544977</c:v>
                </c:pt>
                <c:pt idx="91">
                  <c:v>4.6941678520625887</c:v>
                </c:pt>
                <c:pt idx="92">
                  <c:v>3.2015065913370999</c:v>
                </c:pt>
                <c:pt idx="93">
                  <c:v>2.4830699774266365</c:v>
                </c:pt>
                <c:pt idx="94">
                  <c:v>4.0476190476190474</c:v>
                </c:pt>
                <c:pt idx="95">
                  <c:v>2.2727272727272729</c:v>
                </c:pt>
                <c:pt idx="96">
                  <c:v>1.0526315789473684</c:v>
                </c:pt>
                <c:pt idx="97">
                  <c:v>1.816860465116279</c:v>
                </c:pt>
                <c:pt idx="98">
                  <c:v>2.0797227036395149</c:v>
                </c:pt>
                <c:pt idx="99">
                  <c:v>4.8936170212765955</c:v>
                </c:pt>
                <c:pt idx="100">
                  <c:v>0.46296296296296297</c:v>
                </c:pt>
                <c:pt idx="101">
                  <c:v>1.1235955056179776</c:v>
                </c:pt>
                <c:pt idx="102">
                  <c:v>3.0612244897959182</c:v>
                </c:pt>
                <c:pt idx="103">
                  <c:v>2.880658436213992</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D-36CE-4AFB-9313-7A7B86C5B0D3}"/>
            </c:ext>
          </c:extLst>
        </c:ser>
        <c:ser>
          <c:idx val="0"/>
          <c:order val="14"/>
          <c:tx>
            <c:strRef>
              <c:f>'Дума партии'!$V$1</c:f>
              <c:strCache>
                <c:ptCount val="1"/>
                <c:pt idx="0">
                  <c:v>Недействительных</c:v>
                </c:pt>
              </c:strCache>
            </c:strRef>
          </c:tx>
          <c:spPr>
            <a:noFill/>
            <a:ln w="6350">
              <a:solidFill>
                <a:srgbClr val="000000"/>
              </a:solidFill>
            </a:ln>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партии'!$V$2:$V$113</c:f>
              <c:numCache>
                <c:formatCode>0.0</c:formatCode>
                <c:ptCount val="112"/>
                <c:pt idx="0">
                  <c:v>3.2142857142857144</c:v>
                </c:pt>
                <c:pt idx="1">
                  <c:v>4.9056603773584904</c:v>
                </c:pt>
                <c:pt idx="2">
                  <c:v>2.0316027088036117</c:v>
                </c:pt>
                <c:pt idx="3">
                  <c:v>7.4796747967479673</c:v>
                </c:pt>
                <c:pt idx="4">
                  <c:v>4.048582995951417</c:v>
                </c:pt>
                <c:pt idx="5">
                  <c:v>4.3402777777777777</c:v>
                </c:pt>
                <c:pt idx="6">
                  <c:v>2.0120724346076457</c:v>
                </c:pt>
                <c:pt idx="7">
                  <c:v>4.3478260869565215</c:v>
                </c:pt>
                <c:pt idx="8">
                  <c:v>12.390924956369982</c:v>
                </c:pt>
                <c:pt idx="9">
                  <c:v>22.964509394572026</c:v>
                </c:pt>
                <c:pt idx="10">
                  <c:v>5.6701030927835054</c:v>
                </c:pt>
                <c:pt idx="11">
                  <c:v>5.5137844611528823</c:v>
                </c:pt>
                <c:pt idx="12">
                  <c:v>4.8022598870056497</c:v>
                </c:pt>
                <c:pt idx="13">
                  <c:v>4.9541284403669721</c:v>
                </c:pt>
                <c:pt idx="14">
                  <c:v>17.530864197530864</c:v>
                </c:pt>
                <c:pt idx="15">
                  <c:v>6.1965811965811968</c:v>
                </c:pt>
                <c:pt idx="16">
                  <c:v>4.8309178743961354</c:v>
                </c:pt>
                <c:pt idx="17">
                  <c:v>1.7751479289940828</c:v>
                </c:pt>
                <c:pt idx="18">
                  <c:v>9.5238095238095237</c:v>
                </c:pt>
                <c:pt idx="19">
                  <c:v>4.9624060150375939</c:v>
                </c:pt>
                <c:pt idx="20">
                  <c:v>4.6296296296296298</c:v>
                </c:pt>
                <c:pt idx="21">
                  <c:v>4.6242774566473992</c:v>
                </c:pt>
                <c:pt idx="22">
                  <c:v>0</c:v>
                </c:pt>
                <c:pt idx="23">
                  <c:v>21.283783783783782</c:v>
                </c:pt>
                <c:pt idx="24">
                  <c:v>5.5421686746987948</c:v>
                </c:pt>
                <c:pt idx="25">
                  <c:v>3.4698126301179735</c:v>
                </c:pt>
                <c:pt idx="26">
                  <c:v>1.7430600387346675</c:v>
                </c:pt>
                <c:pt idx="27">
                  <c:v>2.7436140018921478</c:v>
                </c:pt>
                <c:pt idx="28">
                  <c:v>4.3832823649337413</c:v>
                </c:pt>
                <c:pt idx="29">
                  <c:v>3.6199095022624435</c:v>
                </c:pt>
                <c:pt idx="30">
                  <c:v>2.7851458885941645</c:v>
                </c:pt>
                <c:pt idx="31">
                  <c:v>7.9229122055674521</c:v>
                </c:pt>
                <c:pt idx="32">
                  <c:v>2.1739130434782608</c:v>
                </c:pt>
                <c:pt idx="33">
                  <c:v>3.0206677265500796</c:v>
                </c:pt>
                <c:pt idx="34">
                  <c:v>1.1734028683181226</c:v>
                </c:pt>
                <c:pt idx="35">
                  <c:v>1.3043478260869565</c:v>
                </c:pt>
                <c:pt idx="36">
                  <c:v>2.5167785234899327</c:v>
                </c:pt>
                <c:pt idx="37">
                  <c:v>2.1487603305785123</c:v>
                </c:pt>
                <c:pt idx="38">
                  <c:v>15.620827770360481</c:v>
                </c:pt>
                <c:pt idx="39">
                  <c:v>2.1235521235521237</c:v>
                </c:pt>
                <c:pt idx="40">
                  <c:v>2.9082774049217002</c:v>
                </c:pt>
                <c:pt idx="41">
                  <c:v>3.4285714285714284</c:v>
                </c:pt>
                <c:pt idx="42">
                  <c:v>3.1437125748502992</c:v>
                </c:pt>
                <c:pt idx="43">
                  <c:v>3.4124629080118694</c:v>
                </c:pt>
                <c:pt idx="44">
                  <c:v>2.643171806167401</c:v>
                </c:pt>
                <c:pt idx="45">
                  <c:v>2.018633540372671</c:v>
                </c:pt>
                <c:pt idx="46">
                  <c:v>6.4908722109533468</c:v>
                </c:pt>
                <c:pt idx="47">
                  <c:v>1.959114139693356</c:v>
                </c:pt>
                <c:pt idx="48">
                  <c:v>4.7957371225577266</c:v>
                </c:pt>
                <c:pt idx="49">
                  <c:v>5.0108932461873641</c:v>
                </c:pt>
                <c:pt idx="50">
                  <c:v>3.8461538461538463</c:v>
                </c:pt>
                <c:pt idx="51">
                  <c:v>3.225806451612903</c:v>
                </c:pt>
                <c:pt idx="52">
                  <c:v>5.7377049180327866</c:v>
                </c:pt>
                <c:pt idx="53">
                  <c:v>4.8</c:v>
                </c:pt>
                <c:pt idx="54">
                  <c:v>3.7102473498233217</c:v>
                </c:pt>
                <c:pt idx="55">
                  <c:v>1.7953321364452424</c:v>
                </c:pt>
                <c:pt idx="56">
                  <c:v>2.1607605877268798</c:v>
                </c:pt>
                <c:pt idx="57">
                  <c:v>2.3893183415319745</c:v>
                </c:pt>
                <c:pt idx="58">
                  <c:v>4.0388930441286464</c:v>
                </c:pt>
                <c:pt idx="59">
                  <c:v>5.161290322580645</c:v>
                </c:pt>
                <c:pt idx="60">
                  <c:v>5.5415617128463479</c:v>
                </c:pt>
                <c:pt idx="61">
                  <c:v>4.1095890410958908</c:v>
                </c:pt>
                <c:pt idx="62">
                  <c:v>4.7524752475247523</c:v>
                </c:pt>
                <c:pt idx="63">
                  <c:v>2.030456852791878</c:v>
                </c:pt>
                <c:pt idx="64">
                  <c:v>2.8282828282828283</c:v>
                </c:pt>
                <c:pt idx="65">
                  <c:v>4.4117647058823533</c:v>
                </c:pt>
                <c:pt idx="66">
                  <c:v>3.3613445378151261</c:v>
                </c:pt>
                <c:pt idx="67">
                  <c:v>2.8301886792452828</c:v>
                </c:pt>
                <c:pt idx="68">
                  <c:v>3.6781609195402298</c:v>
                </c:pt>
                <c:pt idx="69">
                  <c:v>0.303951367781155</c:v>
                </c:pt>
                <c:pt idx="70">
                  <c:v>1.3333333333333333</c:v>
                </c:pt>
                <c:pt idx="71">
                  <c:v>2.5899280575539567</c:v>
                </c:pt>
                <c:pt idx="72">
                  <c:v>7.4879227053140101</c:v>
                </c:pt>
                <c:pt idx="73">
                  <c:v>2.34375</c:v>
                </c:pt>
                <c:pt idx="74">
                  <c:v>3.0791788856304985</c:v>
                </c:pt>
                <c:pt idx="75">
                  <c:v>3.6414565826330532</c:v>
                </c:pt>
                <c:pt idx="76">
                  <c:v>0.86206896551724133</c:v>
                </c:pt>
                <c:pt idx="77">
                  <c:v>6.2980030721966207</c:v>
                </c:pt>
                <c:pt idx="78">
                  <c:v>2.43161094224924</c:v>
                </c:pt>
                <c:pt idx="79">
                  <c:v>4.6783625730994149</c:v>
                </c:pt>
                <c:pt idx="80">
                  <c:v>7.4074074074074074</c:v>
                </c:pt>
                <c:pt idx="81">
                  <c:v>6.3253012048192767</c:v>
                </c:pt>
                <c:pt idx="82">
                  <c:v>2.5291828793774318</c:v>
                </c:pt>
                <c:pt idx="83">
                  <c:v>4.4733044733044736</c:v>
                </c:pt>
                <c:pt idx="84">
                  <c:v>5.1083591331269353</c:v>
                </c:pt>
                <c:pt idx="85">
                  <c:v>0.67796610169491522</c:v>
                </c:pt>
                <c:pt idx="86">
                  <c:v>4.1401273885350323</c:v>
                </c:pt>
                <c:pt idx="87">
                  <c:v>4.7706422018348622</c:v>
                </c:pt>
                <c:pt idx="88">
                  <c:v>2.5974025974025974</c:v>
                </c:pt>
                <c:pt idx="89">
                  <c:v>12.46684350132626</c:v>
                </c:pt>
                <c:pt idx="90">
                  <c:v>3.1746031746031744</c:v>
                </c:pt>
                <c:pt idx="91">
                  <c:v>2.9871977240398291</c:v>
                </c:pt>
                <c:pt idx="92">
                  <c:v>3.5781544256120528</c:v>
                </c:pt>
                <c:pt idx="93">
                  <c:v>2.0316027088036117</c:v>
                </c:pt>
                <c:pt idx="94">
                  <c:v>4.0476190476190474</c:v>
                </c:pt>
                <c:pt idx="95">
                  <c:v>3.1818181818181817</c:v>
                </c:pt>
                <c:pt idx="96">
                  <c:v>3.0340557275541795</c:v>
                </c:pt>
                <c:pt idx="97">
                  <c:v>7.4127906976744189</c:v>
                </c:pt>
                <c:pt idx="98">
                  <c:v>0.77989601386481799</c:v>
                </c:pt>
                <c:pt idx="99">
                  <c:v>2.3404255319148937</c:v>
                </c:pt>
                <c:pt idx="100">
                  <c:v>0</c:v>
                </c:pt>
                <c:pt idx="101">
                  <c:v>14.044943820224718</c:v>
                </c:pt>
                <c:pt idx="102">
                  <c:v>2.5510204081632653</c:v>
                </c:pt>
                <c:pt idx="103">
                  <c:v>9.4650205761316872</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0-DA14-4CA3-A295-ADA8A2EA9FFE}"/>
            </c:ext>
          </c:extLst>
        </c:ser>
        <c:ser>
          <c:idx val="1"/>
          <c:order val="15"/>
          <c:tx>
            <c:strRef>
              <c:f>'Дума партии'!$T$1</c:f>
              <c:strCache>
                <c:ptCount val="1"/>
                <c:pt idx="0">
                  <c:v>Надомка</c:v>
                </c:pt>
              </c:strCache>
            </c:strRef>
          </c:tx>
          <c:spPr>
            <a:noFill/>
            <a:ln w="6350" cmpd="sng">
              <a:solidFill>
                <a:srgbClr val="000000"/>
              </a:solidFill>
              <a:prstDash val="sysDot"/>
            </a:ln>
          </c:spPr>
          <c:invertIfNegative val="0"/>
          <c:xVal>
            <c:numRef>
              <c:f>'Дума партии'!$N$2:$N$113</c:f>
              <c:numCache>
                <c:formatCode>0.0</c:formatCode>
                <c:ptCount val="112"/>
                <c:pt idx="0">
                  <c:v>40</c:v>
                </c:pt>
                <c:pt idx="1">
                  <c:v>39.700374531835209</c:v>
                </c:pt>
                <c:pt idx="2">
                  <c:v>40.679522497704319</c:v>
                </c:pt>
                <c:pt idx="3">
                  <c:v>40.755467196819083</c:v>
                </c:pt>
                <c:pt idx="4">
                  <c:v>33.446174678402166</c:v>
                </c:pt>
                <c:pt idx="5">
                  <c:v>44.003055767761651</c:v>
                </c:pt>
                <c:pt idx="6">
                  <c:v>44.654088050314463</c:v>
                </c:pt>
                <c:pt idx="7">
                  <c:v>40.04643064422519</c:v>
                </c:pt>
                <c:pt idx="8">
                  <c:v>40.782918149466191</c:v>
                </c:pt>
                <c:pt idx="9">
                  <c:v>36.069277108433738</c:v>
                </c:pt>
                <c:pt idx="10">
                  <c:v>41.043723554301835</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44.039735099337747</c:v>
                </c:pt>
                <c:pt idx="20">
                  <c:v>40.883280757097793</c:v>
                </c:pt>
                <c:pt idx="21">
                  <c:v>38.049853372434015</c:v>
                </c:pt>
                <c:pt idx="22">
                  <c:v>40.594541910331387</c:v>
                </c:pt>
                <c:pt idx="23">
                  <c:v>33.751425313568987</c:v>
                </c:pt>
                <c:pt idx="24">
                  <c:v>37.242614145031332</c:v>
                </c:pt>
                <c:pt idx="25">
                  <c:v>50.596910112359552</c:v>
                </c:pt>
                <c:pt idx="26">
                  <c:v>68.47922192749779</c:v>
                </c:pt>
                <c:pt idx="27">
                  <c:v>58.820255982192542</c:v>
                </c:pt>
                <c:pt idx="28">
                  <c:v>54.19889502762431</c:v>
                </c:pt>
                <c:pt idx="29">
                  <c:v>36.925647451963243</c:v>
                </c:pt>
                <c:pt idx="30">
                  <c:v>72.779644743158912</c:v>
                </c:pt>
                <c:pt idx="31">
                  <c:v>42.148014440433215</c:v>
                </c:pt>
                <c:pt idx="32">
                  <c:v>67.647058823529406</c:v>
                </c:pt>
                <c:pt idx="33">
                  <c:v>48.384615384615387</c:v>
                </c:pt>
                <c:pt idx="34">
                  <c:v>34.847796456156296</c:v>
                </c:pt>
                <c:pt idx="35">
                  <c:v>65.7769304099142</c:v>
                </c:pt>
                <c:pt idx="36">
                  <c:v>58.488714425907752</c:v>
                </c:pt>
                <c:pt idx="37">
                  <c:v>55</c:v>
                </c:pt>
                <c:pt idx="38">
                  <c:v>77.628865979381445</c:v>
                </c:pt>
                <c:pt idx="39">
                  <c:v>35.57692307692308</c:v>
                </c:pt>
                <c:pt idx="40">
                  <c:v>44.345238095238095</c:v>
                </c:pt>
                <c:pt idx="41">
                  <c:v>33.686236766121269</c:v>
                </c:pt>
                <c:pt idx="42">
                  <c:v>59.062776304155612</c:v>
                </c:pt>
                <c:pt idx="43">
                  <c:v>38.802533103051239</c:v>
                </c:pt>
                <c:pt idx="44">
                  <c:v>39.512619669277633</c:v>
                </c:pt>
                <c:pt idx="45">
                  <c:v>43.601895734597157</c:v>
                </c:pt>
                <c:pt idx="46">
                  <c:v>40.476190476190474</c:v>
                </c:pt>
                <c:pt idx="47">
                  <c:v>36.848713119899564</c:v>
                </c:pt>
                <c:pt idx="48">
                  <c:v>43.832428238944921</c:v>
                </c:pt>
                <c:pt idx="49">
                  <c:v>36.457505957108815</c:v>
                </c:pt>
                <c:pt idx="50">
                  <c:v>40.154440154440152</c:v>
                </c:pt>
                <c:pt idx="51">
                  <c:v>48.4375</c:v>
                </c:pt>
                <c:pt idx="52">
                  <c:v>36.746987951807228</c:v>
                </c:pt>
                <c:pt idx="53">
                  <c:v>32.808398950131235</c:v>
                </c:pt>
                <c:pt idx="54">
                  <c:v>35.959339263024141</c:v>
                </c:pt>
                <c:pt idx="55">
                  <c:v>45.618345618345622</c:v>
                </c:pt>
                <c:pt idx="56">
                  <c:v>59.608449252962387</c:v>
                </c:pt>
                <c:pt idx="57">
                  <c:v>66.309412861137005</c:v>
                </c:pt>
                <c:pt idx="58">
                  <c:v>80.203959208158366</c:v>
                </c:pt>
                <c:pt idx="59">
                  <c:v>32.76955602536998</c:v>
                </c:pt>
                <c:pt idx="60">
                  <c:v>35.573476702508962</c:v>
                </c:pt>
                <c:pt idx="61">
                  <c:v>100</c:v>
                </c:pt>
                <c:pt idx="62">
                  <c:v>35.538353272343421</c:v>
                </c:pt>
                <c:pt idx="63">
                  <c:v>37.099811676082865</c:v>
                </c:pt>
                <c:pt idx="64">
                  <c:v>35.331905781584581</c:v>
                </c:pt>
                <c:pt idx="65">
                  <c:v>42.805755395683455</c:v>
                </c:pt>
                <c:pt idx="66">
                  <c:v>38.049560351718625</c:v>
                </c:pt>
                <c:pt idx="67">
                  <c:v>35.333333333333336</c:v>
                </c:pt>
                <c:pt idx="68">
                  <c:v>34.278959810874703</c:v>
                </c:pt>
                <c:pt idx="69">
                  <c:v>41.066997518610421</c:v>
                </c:pt>
                <c:pt idx="70">
                  <c:v>27.027027027027028</c:v>
                </c:pt>
                <c:pt idx="71">
                  <c:v>34.236453201970441</c:v>
                </c:pt>
                <c:pt idx="72">
                  <c:v>62.91793313069909</c:v>
                </c:pt>
                <c:pt idx="73">
                  <c:v>51.036682615629985</c:v>
                </c:pt>
                <c:pt idx="74">
                  <c:v>53.198127925117006</c:v>
                </c:pt>
                <c:pt idx="75">
                  <c:v>46.183699870633895</c:v>
                </c:pt>
                <c:pt idx="76">
                  <c:v>55.591054313099043</c:v>
                </c:pt>
                <c:pt idx="77">
                  <c:v>55.451448040885857</c:v>
                </c:pt>
                <c:pt idx="78">
                  <c:v>58.281665190434012</c:v>
                </c:pt>
                <c:pt idx="79">
                  <c:v>73.39055793991416</c:v>
                </c:pt>
                <c:pt idx="80">
                  <c:v>54.339118825100137</c:v>
                </c:pt>
                <c:pt idx="81">
                  <c:v>49.924812030075188</c:v>
                </c:pt>
                <c:pt idx="82">
                  <c:v>47.069597069597073</c:v>
                </c:pt>
                <c:pt idx="83">
                  <c:v>33.237410071942449</c:v>
                </c:pt>
                <c:pt idx="84">
                  <c:v>51.148060174188437</c:v>
                </c:pt>
                <c:pt idx="85">
                  <c:v>50.687285223367695</c:v>
                </c:pt>
                <c:pt idx="86">
                  <c:v>52.029826014913006</c:v>
                </c:pt>
                <c:pt idx="87">
                  <c:v>35.529715762273902</c:v>
                </c:pt>
                <c:pt idx="88">
                  <c:v>40.062434963579605</c:v>
                </c:pt>
                <c:pt idx="89">
                  <c:v>33.362831858407077</c:v>
                </c:pt>
                <c:pt idx="90">
                  <c:v>39.170984455958546</c:v>
                </c:pt>
                <c:pt idx="91">
                  <c:v>55.15625</c:v>
                </c:pt>
                <c:pt idx="92">
                  <c:v>40.472560975609753</c:v>
                </c:pt>
                <c:pt idx="93">
                  <c:v>48.047722342733188</c:v>
                </c:pt>
                <c:pt idx="94">
                  <c:v>24.054982817869416</c:v>
                </c:pt>
                <c:pt idx="95">
                  <c:v>37.478705281090292</c:v>
                </c:pt>
                <c:pt idx="96">
                  <c:v>47.668240850059028</c:v>
                </c:pt>
                <c:pt idx="97">
                  <c:v>64.936290703161873</c:v>
                </c:pt>
                <c:pt idx="98">
                  <c:v>57.128712871287128</c:v>
                </c:pt>
                <c:pt idx="99">
                  <c:v>40.482342807924205</c:v>
                </c:pt>
                <c:pt idx="100">
                  <c:v>100</c:v>
                </c:pt>
                <c:pt idx="101">
                  <c:v>91.75257731958763</c:v>
                </c:pt>
                <c:pt idx="102">
                  <c:v>96.078431372549019</c:v>
                </c:pt>
                <c:pt idx="103">
                  <c:v>90.334572490706321</c:v>
                </c:pt>
              </c:numCache>
            </c:numRef>
          </c:xVal>
          <c:yVal>
            <c:numRef>
              <c:f>'Дума партии'!$T$2:$T$113</c:f>
              <c:numCache>
                <c:formatCode>0.0</c:formatCode>
                <c:ptCount val="112"/>
                <c:pt idx="0">
                  <c:v>2.8571428571428572</c:v>
                </c:pt>
                <c:pt idx="1">
                  <c:v>3.7735849056603774</c:v>
                </c:pt>
                <c:pt idx="2">
                  <c:v>1.3544018058690745</c:v>
                </c:pt>
                <c:pt idx="3">
                  <c:v>1.6260162601626016</c:v>
                </c:pt>
                <c:pt idx="4">
                  <c:v>0.80971659919028338</c:v>
                </c:pt>
                <c:pt idx="5">
                  <c:v>1.0416666666666667</c:v>
                </c:pt>
                <c:pt idx="6">
                  <c:v>2.816901408450704</c:v>
                </c:pt>
                <c:pt idx="7">
                  <c:v>4.2028985507246377</c:v>
                </c:pt>
                <c:pt idx="8">
                  <c:v>4.1884816753926701</c:v>
                </c:pt>
                <c:pt idx="9">
                  <c:v>3.5490605427974948</c:v>
                </c:pt>
                <c:pt idx="10">
                  <c:v>2.5773195876288661</c:v>
                </c:pt>
                <c:pt idx="11">
                  <c:v>2.5062656641604009</c:v>
                </c:pt>
                <c:pt idx="12">
                  <c:v>7.3446327683615822</c:v>
                </c:pt>
                <c:pt idx="13">
                  <c:v>1.6513761467889909</c:v>
                </c:pt>
                <c:pt idx="14">
                  <c:v>0.49382716049382713</c:v>
                </c:pt>
                <c:pt idx="15">
                  <c:v>1.7094017094017093</c:v>
                </c:pt>
                <c:pt idx="16">
                  <c:v>8.454106280193237</c:v>
                </c:pt>
                <c:pt idx="17">
                  <c:v>6.7061143984220903</c:v>
                </c:pt>
                <c:pt idx="18">
                  <c:v>30.357142857142858</c:v>
                </c:pt>
                <c:pt idx="19">
                  <c:v>1.9548872180451127</c:v>
                </c:pt>
                <c:pt idx="20">
                  <c:v>0.46296296296296297</c:v>
                </c:pt>
                <c:pt idx="21">
                  <c:v>6.5510597302504818</c:v>
                </c:pt>
                <c:pt idx="22">
                  <c:v>1.8007202881152462</c:v>
                </c:pt>
                <c:pt idx="23">
                  <c:v>2.7027027027027026</c:v>
                </c:pt>
                <c:pt idx="24">
                  <c:v>3.3734939759036147</c:v>
                </c:pt>
                <c:pt idx="25">
                  <c:v>0</c:v>
                </c:pt>
                <c:pt idx="26">
                  <c:v>51.581665590703679</c:v>
                </c:pt>
                <c:pt idx="27">
                  <c:v>53.263954588457899</c:v>
                </c:pt>
                <c:pt idx="28">
                  <c:v>34.964322120285424</c:v>
                </c:pt>
                <c:pt idx="29">
                  <c:v>1.8099547511312217</c:v>
                </c:pt>
                <c:pt idx="30">
                  <c:v>16.578249336870027</c:v>
                </c:pt>
                <c:pt idx="31">
                  <c:v>0.42826552462526768</c:v>
                </c:pt>
                <c:pt idx="32">
                  <c:v>1.0869565217391304</c:v>
                </c:pt>
                <c:pt idx="33">
                  <c:v>9.5389507154213042</c:v>
                </c:pt>
                <c:pt idx="34">
                  <c:v>27.640156453715775</c:v>
                </c:pt>
                <c:pt idx="35">
                  <c:v>13.768115942028986</c:v>
                </c:pt>
                <c:pt idx="36">
                  <c:v>1.0067114093959733</c:v>
                </c:pt>
                <c:pt idx="37">
                  <c:v>2.4793388429752068</c:v>
                </c:pt>
                <c:pt idx="38">
                  <c:v>0.13351134846461948</c:v>
                </c:pt>
                <c:pt idx="39">
                  <c:v>6.3706563706563708</c:v>
                </c:pt>
                <c:pt idx="40">
                  <c:v>1.3422818791946309</c:v>
                </c:pt>
                <c:pt idx="41">
                  <c:v>2</c:v>
                </c:pt>
                <c:pt idx="42">
                  <c:v>2.6946107784431139</c:v>
                </c:pt>
                <c:pt idx="43">
                  <c:v>1.4836795252225519</c:v>
                </c:pt>
                <c:pt idx="44">
                  <c:v>2.4229074889867843</c:v>
                </c:pt>
                <c:pt idx="45">
                  <c:v>38.043478260869563</c:v>
                </c:pt>
                <c:pt idx="46">
                  <c:v>14.198782961460447</c:v>
                </c:pt>
                <c:pt idx="47">
                  <c:v>0.59625212947189099</c:v>
                </c:pt>
                <c:pt idx="48">
                  <c:v>5.8614564831261102</c:v>
                </c:pt>
                <c:pt idx="49">
                  <c:v>9.3681917211328969</c:v>
                </c:pt>
                <c:pt idx="50">
                  <c:v>28.846153846153847</c:v>
                </c:pt>
                <c:pt idx="51">
                  <c:v>18.27956989247312</c:v>
                </c:pt>
                <c:pt idx="52">
                  <c:v>13.934426229508198</c:v>
                </c:pt>
                <c:pt idx="53">
                  <c:v>1.8</c:v>
                </c:pt>
                <c:pt idx="54">
                  <c:v>2.2968197879858656</c:v>
                </c:pt>
                <c:pt idx="55">
                  <c:v>1.4362657091561939</c:v>
                </c:pt>
                <c:pt idx="56">
                  <c:v>0.25929127052722556</c:v>
                </c:pt>
                <c:pt idx="57">
                  <c:v>0.63246661981728747</c:v>
                </c:pt>
                <c:pt idx="58">
                  <c:v>0.74794315632011965</c:v>
                </c:pt>
                <c:pt idx="59">
                  <c:v>4.5161290322580649</c:v>
                </c:pt>
                <c:pt idx="60">
                  <c:v>16.120906801007557</c:v>
                </c:pt>
                <c:pt idx="61">
                  <c:v>0.60882800608828003</c:v>
                </c:pt>
                <c:pt idx="62">
                  <c:v>2.7722772277227721</c:v>
                </c:pt>
                <c:pt idx="63">
                  <c:v>3.2994923857868019</c:v>
                </c:pt>
                <c:pt idx="64">
                  <c:v>0.80808080808080807</c:v>
                </c:pt>
                <c:pt idx="65">
                  <c:v>0.84033613445378152</c:v>
                </c:pt>
                <c:pt idx="66">
                  <c:v>2.3109243697478989</c:v>
                </c:pt>
                <c:pt idx="67">
                  <c:v>2.358490566037736</c:v>
                </c:pt>
                <c:pt idx="68">
                  <c:v>1.1494252873563218</c:v>
                </c:pt>
                <c:pt idx="69">
                  <c:v>0.60790273556231</c:v>
                </c:pt>
                <c:pt idx="70">
                  <c:v>2.6666666666666665</c:v>
                </c:pt>
                <c:pt idx="71">
                  <c:v>8.6330935251798557</c:v>
                </c:pt>
                <c:pt idx="72">
                  <c:v>29.710144927536231</c:v>
                </c:pt>
                <c:pt idx="73">
                  <c:v>2.5</c:v>
                </c:pt>
                <c:pt idx="74">
                  <c:v>6.4516129032258061</c:v>
                </c:pt>
                <c:pt idx="75">
                  <c:v>46.218487394957982</c:v>
                </c:pt>
                <c:pt idx="76">
                  <c:v>20.258620689655171</c:v>
                </c:pt>
                <c:pt idx="77">
                  <c:v>3.8402457757296466</c:v>
                </c:pt>
                <c:pt idx="78">
                  <c:v>31.003039513677813</c:v>
                </c:pt>
                <c:pt idx="79">
                  <c:v>48.245614035087719</c:v>
                </c:pt>
                <c:pt idx="80">
                  <c:v>14.567901234567902</c:v>
                </c:pt>
                <c:pt idx="81">
                  <c:v>16.867469879518072</c:v>
                </c:pt>
                <c:pt idx="82">
                  <c:v>14.007782101167315</c:v>
                </c:pt>
                <c:pt idx="83">
                  <c:v>13.997113997113997</c:v>
                </c:pt>
                <c:pt idx="84">
                  <c:v>7.4303405572755414</c:v>
                </c:pt>
                <c:pt idx="85">
                  <c:v>44.067796610169495</c:v>
                </c:pt>
                <c:pt idx="86">
                  <c:v>27.070063694267517</c:v>
                </c:pt>
                <c:pt idx="87">
                  <c:v>2.2018348623853212</c:v>
                </c:pt>
                <c:pt idx="88">
                  <c:v>2.8571428571428572</c:v>
                </c:pt>
                <c:pt idx="89">
                  <c:v>2.6525198938992043</c:v>
                </c:pt>
                <c:pt idx="90">
                  <c:v>2.9100529100529102</c:v>
                </c:pt>
                <c:pt idx="91">
                  <c:v>0</c:v>
                </c:pt>
                <c:pt idx="92">
                  <c:v>4.3314500941619585</c:v>
                </c:pt>
                <c:pt idx="93">
                  <c:v>41.760722347629795</c:v>
                </c:pt>
                <c:pt idx="94">
                  <c:v>4.2857142857142856</c:v>
                </c:pt>
                <c:pt idx="95">
                  <c:v>12.954545454545455</c:v>
                </c:pt>
                <c:pt idx="96">
                  <c:v>0</c:v>
                </c:pt>
                <c:pt idx="97">
                  <c:v>1.0174418604651163</c:v>
                </c:pt>
                <c:pt idx="98">
                  <c:v>0</c:v>
                </c:pt>
                <c:pt idx="99">
                  <c:v>2.1276595744680851</c:v>
                </c:pt>
                <c:pt idx="100">
                  <c:v>0</c:v>
                </c:pt>
                <c:pt idx="101">
                  <c:v>0</c:v>
                </c:pt>
                <c:pt idx="102">
                  <c:v>25</c:v>
                </c:pt>
                <c:pt idx="103">
                  <c:v>0</c:v>
                </c:pt>
              </c:numCache>
            </c:numRef>
          </c:yVal>
          <c:bubbleSize>
            <c:numRef>
              <c:f>'Дума партии'!$I$2:$I$113</c:f>
              <c:numCache>
                <c:formatCode>General</c:formatCode>
                <c:ptCount val="112"/>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1510</c:v>
                </c:pt>
                <c:pt idx="20">
                  <c:v>1585</c:v>
                </c:pt>
                <c:pt idx="21">
                  <c:v>1364</c:v>
                </c:pt>
                <c:pt idx="22">
                  <c:v>2052</c:v>
                </c:pt>
                <c:pt idx="23">
                  <c:v>877</c:v>
                </c:pt>
                <c:pt idx="24">
                  <c:v>1117</c:v>
                </c:pt>
                <c:pt idx="25">
                  <c:v>2848</c:v>
                </c:pt>
                <c:pt idx="26">
                  <c:v>2262</c:v>
                </c:pt>
                <c:pt idx="27">
                  <c:v>1797</c:v>
                </c:pt>
                <c:pt idx="28">
                  <c:v>1810</c:v>
                </c:pt>
                <c:pt idx="29">
                  <c:v>1197</c:v>
                </c:pt>
                <c:pt idx="30">
                  <c:v>2083</c:v>
                </c:pt>
                <c:pt idx="31">
                  <c:v>1108</c:v>
                </c:pt>
                <c:pt idx="32">
                  <c:v>544</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259</c:v>
                </c:pt>
                <c:pt idx="51">
                  <c:v>192</c:v>
                </c:pt>
                <c:pt idx="52">
                  <c:v>332</c:v>
                </c:pt>
                <c:pt idx="53">
                  <c:v>1524</c:v>
                </c:pt>
                <c:pt idx="54">
                  <c:v>1574</c:v>
                </c:pt>
                <c:pt idx="55">
                  <c:v>1221</c:v>
                </c:pt>
                <c:pt idx="56">
                  <c:v>1941</c:v>
                </c:pt>
                <c:pt idx="57">
                  <c:v>2146</c:v>
                </c:pt>
                <c:pt idx="58">
                  <c:v>1667</c:v>
                </c:pt>
                <c:pt idx="59">
                  <c:v>1419</c:v>
                </c:pt>
                <c:pt idx="60">
                  <c:v>1116</c:v>
                </c:pt>
                <c:pt idx="61">
                  <c:v>657</c:v>
                </c:pt>
                <c:pt idx="62">
                  <c:v>1421</c:v>
                </c:pt>
                <c:pt idx="63">
                  <c:v>1062</c:v>
                </c:pt>
                <c:pt idx="64">
                  <c:v>1401</c:v>
                </c:pt>
                <c:pt idx="65">
                  <c:v>1112</c:v>
                </c:pt>
                <c:pt idx="66">
                  <c:v>1251</c:v>
                </c:pt>
                <c:pt idx="67">
                  <c:v>1200</c:v>
                </c:pt>
                <c:pt idx="68">
                  <c:v>1269</c:v>
                </c:pt>
                <c:pt idx="69">
                  <c:v>806</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1746</c:v>
                </c:pt>
                <c:pt idx="95">
                  <c:v>1174</c:v>
                </c:pt>
                <c:pt idx="96">
                  <c:v>3388</c:v>
                </c:pt>
                <c:pt idx="97">
                  <c:v>2119</c:v>
                </c:pt>
                <c:pt idx="98">
                  <c:v>2020</c:v>
                </c:pt>
                <c:pt idx="99">
                  <c:v>1161</c:v>
                </c:pt>
                <c:pt idx="100">
                  <c:v>216</c:v>
                </c:pt>
                <c:pt idx="101">
                  <c:v>194</c:v>
                </c:pt>
                <c:pt idx="102">
                  <c:v>204</c:v>
                </c:pt>
                <c:pt idx="103">
                  <c:v>269</c:v>
                </c:pt>
              </c:numCache>
            </c:numRef>
          </c:bubbleSize>
          <c:bubble3D val="0"/>
          <c:extLst>
            <c:ext xmlns:c16="http://schemas.microsoft.com/office/drawing/2014/chart" uri="{C3380CC4-5D6E-409C-BE32-E72D297353CC}">
              <c16:uniqueId val="{00000001-DA14-4CA3-A295-ADA8A2EA9FFE}"/>
            </c:ext>
          </c:extLst>
        </c:ser>
        <c:ser>
          <c:idx val="16"/>
          <c:order val="16"/>
          <c:tx>
            <c:strRef>
              <c:f>'Дума партии'!$AB$123</c:f>
              <c:strCache>
                <c:ptCount val="1"/>
                <c:pt idx="0">
                  <c:v>Вручную задано: ЕР без фальсификаций (%)</c:v>
                </c:pt>
              </c:strCache>
            </c:strRef>
          </c:tx>
          <c:spPr>
            <a:ln w="25400">
              <a:noFill/>
            </a:ln>
          </c:spPr>
          <c:invertIfNegative val="0"/>
          <c:errBars>
            <c:errDir val="x"/>
            <c:errBarType val="minus"/>
            <c:errValType val="percentage"/>
            <c:noEndCap val="1"/>
            <c:val val="100"/>
            <c:spPr>
              <a:ln w="6350">
                <a:solidFill>
                  <a:srgbClr val="0000FF">
                    <a:alpha val="50000"/>
                  </a:srgbClr>
                </a:solidFill>
              </a:ln>
            </c:spPr>
          </c:errBars>
          <c:xVal>
            <c:numLit>
              <c:formatCode>General</c:formatCode>
              <c:ptCount val="1"/>
              <c:pt idx="0">
                <c:v>100</c:v>
              </c:pt>
            </c:numLit>
          </c:xVal>
          <c:yVal>
            <c:numRef>
              <c:f>'Дума партии'!$AB$124</c:f>
              <c:numCache>
                <c:formatCode>0.0</c:formatCode>
                <c:ptCount val="1"/>
                <c:pt idx="0">
                  <c:v>34</c:v>
                </c:pt>
              </c:numCache>
            </c:numRef>
          </c:yVal>
          <c:bubbleSize>
            <c:numLit>
              <c:formatCode>General</c:formatCode>
              <c:ptCount val="11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numLit>
          </c:bubbleSize>
          <c:bubble3D val="0"/>
          <c:extLst>
            <c:ext xmlns:c16="http://schemas.microsoft.com/office/drawing/2014/chart" uri="{C3380CC4-5D6E-409C-BE32-E72D297353CC}">
              <c16:uniqueId val="{00000000-58A2-4A44-B348-02F550067423}"/>
            </c:ext>
          </c:extLst>
        </c:ser>
        <c:ser>
          <c:idx val="17"/>
          <c:order val="17"/>
          <c:tx>
            <c:strRef>
              <c:f>'Дума партии'!$AB$142</c:f>
              <c:strCache>
                <c:ptCount val="1"/>
                <c:pt idx="0">
                  <c:v>Макс. размер кружка</c:v>
                </c:pt>
              </c:strCache>
            </c:strRef>
          </c:tx>
          <c:spPr>
            <a:solidFill>
              <a:srgbClr val="000000">
                <a:alpha val="50000"/>
              </a:srgbClr>
            </a:solidFill>
            <a:ln w="25400">
              <a:noFill/>
            </a:ln>
          </c:spPr>
          <c:invertIfNegative val="0"/>
          <c:xVal>
            <c:numLit>
              <c:formatCode>General</c:formatCode>
              <c:ptCount val="1"/>
              <c:pt idx="0">
                <c:v>-10</c:v>
              </c:pt>
            </c:numLit>
          </c:xVal>
          <c:yVal>
            <c:numLit>
              <c:formatCode>General</c:formatCode>
              <c:ptCount val="1"/>
              <c:pt idx="0">
                <c:v>-10</c:v>
              </c:pt>
            </c:numLit>
          </c:yVal>
          <c:bubbleSize>
            <c:numRef>
              <c:f>'Дума партии'!$AB$143</c:f>
              <c:numCache>
                <c:formatCode>General</c:formatCode>
                <c:ptCount val="1"/>
                <c:pt idx="0">
                  <c:v>3388</c:v>
                </c:pt>
              </c:numCache>
            </c:numRef>
          </c:bubbleSize>
          <c:bubble3D val="0"/>
          <c:extLst>
            <c:ext xmlns:c16="http://schemas.microsoft.com/office/drawing/2014/chart" uri="{C3380CC4-5D6E-409C-BE32-E72D297353CC}">
              <c16:uniqueId val="{00000000-EC0A-433D-BBBC-4C8F60D6E9DA}"/>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4.5087845968712403E-2"/>
          <c:y val="0.11734371345029242"/>
          <c:w val="0.16517529081427998"/>
          <c:h val="0.52210584795321635"/>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8515204678362573E-2"/>
          <c:w val="0.95261901191169107"/>
          <c:h val="0.92873874269005852"/>
        </c:manualLayout>
      </c:layout>
      <c:bubbleChart>
        <c:varyColors val="0"/>
        <c:ser>
          <c:idx val="8"/>
          <c:order val="0"/>
          <c:tx>
            <c:strRef>
              <c:f>'Мособлдума партии'!$AA$1</c:f>
              <c:strCache>
                <c:ptCount val="1"/>
                <c:pt idx="0">
                  <c:v>Родина</c:v>
                </c:pt>
              </c:strCache>
            </c:strRef>
          </c:tx>
          <c:spPr>
            <a:solidFill>
              <a:srgbClr val="9900FF">
                <a:alpha val="49804"/>
              </a:srgbClr>
            </a:solidFill>
            <a:ln w="25400">
              <a:noFill/>
            </a:ln>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партии'!$AA$2:$AA$105</c:f>
              <c:numCache>
                <c:formatCode>0.0</c:formatCode>
                <c:ptCount val="104"/>
                <c:pt idx="0">
                  <c:v>0.74349442379182151</c:v>
                </c:pt>
                <c:pt idx="1">
                  <c:v>1.9646365422396856</c:v>
                </c:pt>
                <c:pt idx="2">
                  <c:v>0</c:v>
                </c:pt>
                <c:pt idx="3">
                  <c:v>1.6638935108153079</c:v>
                </c:pt>
                <c:pt idx="4">
                  <c:v>3.3264033264033266</c:v>
                </c:pt>
                <c:pt idx="5">
                  <c:v>1.0909090909090908</c:v>
                </c:pt>
                <c:pt idx="6">
                  <c:v>2.2964509394572024</c:v>
                </c:pt>
                <c:pt idx="7">
                  <c:v>1.51285930408472</c:v>
                </c:pt>
                <c:pt idx="8">
                  <c:v>2.3722627737226278</c:v>
                </c:pt>
                <c:pt idx="9">
                  <c:v>0.63829787234042556</c:v>
                </c:pt>
                <c:pt idx="10">
                  <c:v>0.69686411149825789</c:v>
                </c:pt>
                <c:pt idx="11">
                  <c:v>0.25380710659898476</c:v>
                </c:pt>
                <c:pt idx="12">
                  <c:v>1.4326647564469914</c:v>
                </c:pt>
                <c:pt idx="13">
                  <c:v>1.3257575757575757</c:v>
                </c:pt>
                <c:pt idx="14">
                  <c:v>1.2987012987012987</c:v>
                </c:pt>
                <c:pt idx="15">
                  <c:v>2.8322440087145968</c:v>
                </c:pt>
                <c:pt idx="16">
                  <c:v>1.7114914425427872</c:v>
                </c:pt>
                <c:pt idx="17">
                  <c:v>0.45454545454545453</c:v>
                </c:pt>
                <c:pt idx="18">
                  <c:v>1.7857142857142858</c:v>
                </c:pt>
                <c:pt idx="19">
                  <c:v>1.7080745341614907</c:v>
                </c:pt>
                <c:pt idx="20">
                  <c:v>1.40625</c:v>
                </c:pt>
                <c:pt idx="21">
                  <c:v>1.171875</c:v>
                </c:pt>
                <c:pt idx="22">
                  <c:v>0</c:v>
                </c:pt>
                <c:pt idx="23">
                  <c:v>1.7667844522968197</c:v>
                </c:pt>
                <c:pt idx="24">
                  <c:v>2.0997375328083989</c:v>
                </c:pt>
                <c:pt idx="25">
                  <c:v>1.5003750937734435</c:v>
                </c:pt>
                <c:pt idx="26">
                  <c:v>0.69492703266157052</c:v>
                </c:pt>
                <c:pt idx="27">
                  <c:v>1.3278855975485189</c:v>
                </c:pt>
                <c:pt idx="28">
                  <c:v>1.2600229095074456</c:v>
                </c:pt>
                <c:pt idx="29">
                  <c:v>1.8518518518518519</c:v>
                </c:pt>
                <c:pt idx="30">
                  <c:v>1.0439970171513795</c:v>
                </c:pt>
                <c:pt idx="31">
                  <c:v>0.86956521739130432</c:v>
                </c:pt>
                <c:pt idx="32">
                  <c:v>0.71942446043165464</c:v>
                </c:pt>
                <c:pt idx="33">
                  <c:v>0.81833060556464809</c:v>
                </c:pt>
                <c:pt idx="34">
                  <c:v>1.8518518518518519</c:v>
                </c:pt>
                <c:pt idx="35">
                  <c:v>0.88365243004418259</c:v>
                </c:pt>
                <c:pt idx="36">
                  <c:v>1.3179571663920921</c:v>
                </c:pt>
                <c:pt idx="37">
                  <c:v>1.5280135823429541</c:v>
                </c:pt>
                <c:pt idx="38">
                  <c:v>0.53835800807537015</c:v>
                </c:pt>
                <c:pt idx="39">
                  <c:v>1.6227180527383367</c:v>
                </c:pt>
                <c:pt idx="40">
                  <c:v>1.5151515151515151</c:v>
                </c:pt>
                <c:pt idx="41">
                  <c:v>1.466275659824047</c:v>
                </c:pt>
                <c:pt idx="42">
                  <c:v>0.75872534142640369</c:v>
                </c:pt>
                <c:pt idx="43">
                  <c:v>1.0606060606060606</c:v>
                </c:pt>
                <c:pt idx="44">
                  <c:v>11.30952380952381</c:v>
                </c:pt>
                <c:pt idx="45">
                  <c:v>1.1326860841423949</c:v>
                </c:pt>
                <c:pt idx="46">
                  <c:v>2.3109243697478989</c:v>
                </c:pt>
                <c:pt idx="47">
                  <c:v>0.7142857142857143</c:v>
                </c:pt>
                <c:pt idx="48">
                  <c:v>1.717557251908397</c:v>
                </c:pt>
                <c:pt idx="49">
                  <c:v>1.6018306636155606</c:v>
                </c:pt>
                <c:pt idx="50">
                  <c:v>1.1363636363636365</c:v>
                </c:pt>
                <c:pt idx="51">
                  <c:v>0</c:v>
                </c:pt>
                <c:pt idx="52">
                  <c:v>2.459016393442623</c:v>
                </c:pt>
                <c:pt idx="53">
                  <c:v>1.4767932489451476</c:v>
                </c:pt>
                <c:pt idx="54">
                  <c:v>1.079136690647482</c:v>
                </c:pt>
                <c:pt idx="55">
                  <c:v>1.4989293361884368</c:v>
                </c:pt>
                <c:pt idx="56">
                  <c:v>1.6697588126159555</c:v>
                </c:pt>
                <c:pt idx="57">
                  <c:v>1.5236567762630313</c:v>
                </c:pt>
                <c:pt idx="58">
                  <c:v>1.803921568627451</c:v>
                </c:pt>
                <c:pt idx="59">
                  <c:v>1.5723270440251573</c:v>
                </c:pt>
                <c:pt idx="60">
                  <c:v>2.0408163265306123</c:v>
                </c:pt>
                <c:pt idx="61">
                  <c:v>1.2364760432766615</c:v>
                </c:pt>
                <c:pt idx="62">
                  <c:v>1.4285714285714286</c:v>
                </c:pt>
                <c:pt idx="63">
                  <c:v>2.3195876288659796</c:v>
                </c:pt>
                <c:pt idx="64">
                  <c:v>1.6494845360824741</c:v>
                </c:pt>
                <c:pt idx="65">
                  <c:v>2.522935779816514</c:v>
                </c:pt>
                <c:pt idx="66">
                  <c:v>1.4957264957264957</c:v>
                </c:pt>
                <c:pt idx="67">
                  <c:v>2.3696682464454977</c:v>
                </c:pt>
                <c:pt idx="68">
                  <c:v>1.411764705882353</c:v>
                </c:pt>
                <c:pt idx="69">
                  <c:v>0.94043887147335425</c:v>
                </c:pt>
                <c:pt idx="70">
                  <c:v>1.3422818791946309</c:v>
                </c:pt>
                <c:pt idx="71">
                  <c:v>1.6666666666666667</c:v>
                </c:pt>
                <c:pt idx="72">
                  <c:v>0.78947368421052633</c:v>
                </c:pt>
                <c:pt idx="73">
                  <c:v>2.2544283413848629</c:v>
                </c:pt>
                <c:pt idx="74">
                  <c:v>0.75987841945288759</c:v>
                </c:pt>
                <c:pt idx="75">
                  <c:v>0.88495575221238942</c:v>
                </c:pt>
                <c:pt idx="76">
                  <c:v>1.0416666666666667</c:v>
                </c:pt>
                <c:pt idx="77">
                  <c:v>1.889763779527559</c:v>
                </c:pt>
                <c:pt idx="78">
                  <c:v>1.5552099533437014</c:v>
                </c:pt>
                <c:pt idx="79">
                  <c:v>0.8875739644970414</c:v>
                </c:pt>
                <c:pt idx="80">
                  <c:v>1.0335917312661498</c:v>
                </c:pt>
                <c:pt idx="81">
                  <c:v>1.5625</c:v>
                </c:pt>
                <c:pt idx="82">
                  <c:v>0.40404040404040403</c:v>
                </c:pt>
                <c:pt idx="83">
                  <c:v>2.2288261515601784</c:v>
                </c:pt>
                <c:pt idx="84">
                  <c:v>1.7713365539452497</c:v>
                </c:pt>
                <c:pt idx="85">
                  <c:v>1.079136690647482</c:v>
                </c:pt>
                <c:pt idx="86">
                  <c:v>1.6129032258064515</c:v>
                </c:pt>
                <c:pt idx="87">
                  <c:v>2.033271719038817</c:v>
                </c:pt>
                <c:pt idx="88">
                  <c:v>2.3809523809523809</c:v>
                </c:pt>
                <c:pt idx="89">
                  <c:v>1.3586956521739131</c:v>
                </c:pt>
                <c:pt idx="90">
                  <c:v>2.168021680216802</c:v>
                </c:pt>
                <c:pt idx="91">
                  <c:v>1.300578034682081</c:v>
                </c:pt>
                <c:pt idx="92">
                  <c:v>1.9267822736030829</c:v>
                </c:pt>
                <c:pt idx="93">
                  <c:v>0.94786729857819907</c:v>
                </c:pt>
                <c:pt idx="94">
                  <c:v>1.4814814814814814</c:v>
                </c:pt>
                <c:pt idx="95">
                  <c:v>1.6509433962264151</c:v>
                </c:pt>
                <c:pt idx="96">
                  <c:v>1.8436109345200253</c:v>
                </c:pt>
                <c:pt idx="97">
                  <c:v>1.953125</c:v>
                </c:pt>
                <c:pt idx="98">
                  <c:v>9.2165898617511524E-2</c:v>
                </c:pt>
                <c:pt idx="99">
                  <c:v>2.8077753779697625</c:v>
                </c:pt>
                <c:pt idx="100">
                  <c:v>0</c:v>
                </c:pt>
                <c:pt idx="101">
                  <c:v>0</c:v>
                </c:pt>
                <c:pt idx="102">
                  <c:v>2.3809523809523809</c:v>
                </c:pt>
                <c:pt idx="103">
                  <c:v>0.57471264367816088</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0-2D10-4E5E-9489-B18E1CFA942D}"/>
            </c:ext>
          </c:extLst>
        </c:ser>
        <c:ser>
          <c:idx val="9"/>
          <c:order val="1"/>
          <c:tx>
            <c:strRef>
              <c:f>'Мособлдума партии'!$AC$1</c:f>
              <c:strCache>
                <c:ptCount val="1"/>
                <c:pt idx="0">
                  <c:v>ЛДПР</c:v>
                </c:pt>
              </c:strCache>
            </c:strRef>
          </c:tx>
          <c:spPr>
            <a:solidFill>
              <a:srgbClr val="FF9900">
                <a:alpha val="49804"/>
              </a:srgbClr>
            </a:solidFill>
            <a:ln w="25400"/>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партии'!$AC$2:$AC$105</c:f>
              <c:numCache>
                <c:formatCode>0.0</c:formatCode>
                <c:ptCount val="104"/>
                <c:pt idx="0">
                  <c:v>9.2936802973977688</c:v>
                </c:pt>
                <c:pt idx="1">
                  <c:v>10.216110019646365</c:v>
                </c:pt>
                <c:pt idx="2">
                  <c:v>5.6206088992974239</c:v>
                </c:pt>
                <c:pt idx="3">
                  <c:v>6.8219633943427622</c:v>
                </c:pt>
                <c:pt idx="4">
                  <c:v>2.4948024948024949</c:v>
                </c:pt>
                <c:pt idx="5">
                  <c:v>10.545454545454545</c:v>
                </c:pt>
                <c:pt idx="6">
                  <c:v>9.6033402922755737</c:v>
                </c:pt>
                <c:pt idx="7">
                  <c:v>9.6822995461422092</c:v>
                </c:pt>
                <c:pt idx="8">
                  <c:v>17.700729927007298</c:v>
                </c:pt>
                <c:pt idx="9">
                  <c:v>7.2340425531914896</c:v>
                </c:pt>
                <c:pt idx="10">
                  <c:v>11.846689895470384</c:v>
                </c:pt>
                <c:pt idx="11">
                  <c:v>9.8984771573604053</c:v>
                </c:pt>
                <c:pt idx="12">
                  <c:v>7.1633237822349569</c:v>
                </c:pt>
                <c:pt idx="13">
                  <c:v>10.606060606060606</c:v>
                </c:pt>
                <c:pt idx="14">
                  <c:v>10.64935064935065</c:v>
                </c:pt>
                <c:pt idx="15">
                  <c:v>13.507625272331154</c:v>
                </c:pt>
                <c:pt idx="16">
                  <c:v>6.6014669926650367</c:v>
                </c:pt>
                <c:pt idx="17">
                  <c:v>6.8181818181818183</c:v>
                </c:pt>
                <c:pt idx="18">
                  <c:v>10.119047619047619</c:v>
                </c:pt>
                <c:pt idx="19">
                  <c:v>7.9192546583850936</c:v>
                </c:pt>
                <c:pt idx="20">
                  <c:v>9.84375</c:v>
                </c:pt>
                <c:pt idx="21">
                  <c:v>5.859375</c:v>
                </c:pt>
                <c:pt idx="22">
                  <c:v>2.4479804161566707</c:v>
                </c:pt>
                <c:pt idx="23">
                  <c:v>5.3003533568904597</c:v>
                </c:pt>
                <c:pt idx="24">
                  <c:v>7.6115485564304466</c:v>
                </c:pt>
                <c:pt idx="25">
                  <c:v>12.378094523630908</c:v>
                </c:pt>
                <c:pt idx="26">
                  <c:v>4.9339819318971507</c:v>
                </c:pt>
                <c:pt idx="27">
                  <c:v>8.171603677221654</c:v>
                </c:pt>
                <c:pt idx="28">
                  <c:v>10.996563573883162</c:v>
                </c:pt>
                <c:pt idx="29">
                  <c:v>6.9444444444444446</c:v>
                </c:pt>
                <c:pt idx="30">
                  <c:v>11.483967188665176</c:v>
                </c:pt>
                <c:pt idx="31">
                  <c:v>12.173913043478262</c:v>
                </c:pt>
                <c:pt idx="32">
                  <c:v>5.0359712230215825</c:v>
                </c:pt>
                <c:pt idx="33">
                  <c:v>7.0376432078559734</c:v>
                </c:pt>
                <c:pt idx="34">
                  <c:v>5.8201058201058204</c:v>
                </c:pt>
                <c:pt idx="35">
                  <c:v>6.6273932253313701</c:v>
                </c:pt>
                <c:pt idx="36">
                  <c:v>3.1301482701812193</c:v>
                </c:pt>
                <c:pt idx="37">
                  <c:v>4.9235993208828521</c:v>
                </c:pt>
                <c:pt idx="38">
                  <c:v>4.4414535666218038</c:v>
                </c:pt>
                <c:pt idx="39">
                  <c:v>7.5050709939148073</c:v>
                </c:pt>
                <c:pt idx="40">
                  <c:v>7.2261072261072261</c:v>
                </c:pt>
                <c:pt idx="41">
                  <c:v>8.5043988269794717</c:v>
                </c:pt>
                <c:pt idx="42">
                  <c:v>6.0698027314112295</c:v>
                </c:pt>
                <c:pt idx="43">
                  <c:v>7.5757575757575761</c:v>
                </c:pt>
                <c:pt idx="44">
                  <c:v>5.3571428571428568</c:v>
                </c:pt>
                <c:pt idx="45">
                  <c:v>2.912621359223301</c:v>
                </c:pt>
                <c:pt idx="46">
                  <c:v>7.9831932773109244</c:v>
                </c:pt>
                <c:pt idx="47">
                  <c:v>6.3392857142857144</c:v>
                </c:pt>
                <c:pt idx="48">
                  <c:v>10.496183206106871</c:v>
                </c:pt>
                <c:pt idx="49">
                  <c:v>13.729977116704806</c:v>
                </c:pt>
                <c:pt idx="50">
                  <c:v>12.5</c:v>
                </c:pt>
                <c:pt idx="51">
                  <c:v>12.5</c:v>
                </c:pt>
                <c:pt idx="52">
                  <c:v>9.8360655737704921</c:v>
                </c:pt>
                <c:pt idx="53">
                  <c:v>13.291139240506329</c:v>
                </c:pt>
                <c:pt idx="54">
                  <c:v>13.489208633093526</c:v>
                </c:pt>
                <c:pt idx="55">
                  <c:v>14.775160599571734</c:v>
                </c:pt>
                <c:pt idx="56">
                  <c:v>14.84230055658627</c:v>
                </c:pt>
                <c:pt idx="57">
                  <c:v>14.514835605453088</c:v>
                </c:pt>
                <c:pt idx="58">
                  <c:v>10.196078431372548</c:v>
                </c:pt>
                <c:pt idx="59">
                  <c:v>7.8616352201257858</c:v>
                </c:pt>
                <c:pt idx="60">
                  <c:v>13.26530612244898</c:v>
                </c:pt>
                <c:pt idx="61">
                  <c:v>7.5734157650695515</c:v>
                </c:pt>
                <c:pt idx="62">
                  <c:v>7.7551020408163263</c:v>
                </c:pt>
                <c:pt idx="63">
                  <c:v>6.7010309278350517</c:v>
                </c:pt>
                <c:pt idx="64">
                  <c:v>9.8969072164948457</c:v>
                </c:pt>
                <c:pt idx="65">
                  <c:v>10.55045871559633</c:v>
                </c:pt>
                <c:pt idx="66">
                  <c:v>8.7606837606837615</c:v>
                </c:pt>
                <c:pt idx="67">
                  <c:v>8.0568720379146921</c:v>
                </c:pt>
                <c:pt idx="68">
                  <c:v>7.7647058823529411</c:v>
                </c:pt>
                <c:pt idx="69">
                  <c:v>6.2695924764890281</c:v>
                </c:pt>
                <c:pt idx="70">
                  <c:v>10.738255033557047</c:v>
                </c:pt>
                <c:pt idx="71">
                  <c:v>12.424242424242424</c:v>
                </c:pt>
                <c:pt idx="72">
                  <c:v>8.1578947368421044</c:v>
                </c:pt>
                <c:pt idx="73">
                  <c:v>8.5346215780998396</c:v>
                </c:pt>
                <c:pt idx="74">
                  <c:v>7.4468085106382977</c:v>
                </c:pt>
                <c:pt idx="75">
                  <c:v>9.1445427728613566</c:v>
                </c:pt>
                <c:pt idx="76">
                  <c:v>8.0357142857142865</c:v>
                </c:pt>
                <c:pt idx="77">
                  <c:v>8.5039370078740166</c:v>
                </c:pt>
                <c:pt idx="78">
                  <c:v>10.26438569206843</c:v>
                </c:pt>
                <c:pt idx="79">
                  <c:v>7.1005917159763312</c:v>
                </c:pt>
                <c:pt idx="80">
                  <c:v>12.144702842377262</c:v>
                </c:pt>
                <c:pt idx="81">
                  <c:v>10.625</c:v>
                </c:pt>
                <c:pt idx="82">
                  <c:v>2.4242424242424243</c:v>
                </c:pt>
                <c:pt idx="83">
                  <c:v>10.104011887072808</c:v>
                </c:pt>
                <c:pt idx="84">
                  <c:v>8.8566827697262482</c:v>
                </c:pt>
                <c:pt idx="85">
                  <c:v>6.8345323741007196</c:v>
                </c:pt>
                <c:pt idx="86">
                  <c:v>9.8387096774193541</c:v>
                </c:pt>
                <c:pt idx="87">
                  <c:v>6.4695009242144179</c:v>
                </c:pt>
                <c:pt idx="88">
                  <c:v>6.3492063492063489</c:v>
                </c:pt>
                <c:pt idx="89">
                  <c:v>8.4239130434782616</c:v>
                </c:pt>
                <c:pt idx="90">
                  <c:v>11.382113821138212</c:v>
                </c:pt>
                <c:pt idx="91">
                  <c:v>5.3468208092485545</c:v>
                </c:pt>
                <c:pt idx="92">
                  <c:v>10.019267822736031</c:v>
                </c:pt>
                <c:pt idx="93">
                  <c:v>6.8720379146919433</c:v>
                </c:pt>
                <c:pt idx="94">
                  <c:v>7.9012345679012341</c:v>
                </c:pt>
                <c:pt idx="95">
                  <c:v>12.5</c:v>
                </c:pt>
                <c:pt idx="96">
                  <c:v>14.17673235855054</c:v>
                </c:pt>
                <c:pt idx="97">
                  <c:v>13.515625</c:v>
                </c:pt>
                <c:pt idx="98">
                  <c:v>4.5161290322580649</c:v>
                </c:pt>
                <c:pt idx="99">
                  <c:v>8.4233261339092866</c:v>
                </c:pt>
                <c:pt idx="100">
                  <c:v>4.8780487804878048</c:v>
                </c:pt>
                <c:pt idx="101">
                  <c:v>2.1276595744680851</c:v>
                </c:pt>
                <c:pt idx="102">
                  <c:v>10.119047619047619</c:v>
                </c:pt>
                <c:pt idx="103">
                  <c:v>12.64367816091954</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1-2D10-4E5E-9489-B18E1CFA942D}"/>
            </c:ext>
          </c:extLst>
        </c:ser>
        <c:ser>
          <c:idx val="10"/>
          <c:order val="2"/>
          <c:tx>
            <c:strRef>
              <c:f>'Мособлдума партии'!$AE$1</c:f>
              <c:strCache>
                <c:ptCount val="1"/>
                <c:pt idx="0">
                  <c:v>Новые люди</c:v>
                </c:pt>
              </c:strCache>
            </c:strRef>
          </c:tx>
          <c:spPr>
            <a:solidFill>
              <a:srgbClr val="00FFFF">
                <a:alpha val="49804"/>
              </a:srgbClr>
            </a:solidFill>
            <a:ln w="25400">
              <a:noFill/>
            </a:ln>
            <a:effectLst/>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партии'!$AE$2:$AE$105</c:f>
              <c:numCache>
                <c:formatCode>0.0</c:formatCode>
                <c:ptCount val="104"/>
                <c:pt idx="0">
                  <c:v>1.8587360594795539</c:v>
                </c:pt>
                <c:pt idx="1">
                  <c:v>4.9115913555992146</c:v>
                </c:pt>
                <c:pt idx="2">
                  <c:v>1.873536299765808</c:v>
                </c:pt>
                <c:pt idx="3">
                  <c:v>6.4891846921797001</c:v>
                </c:pt>
                <c:pt idx="4">
                  <c:v>3.3264033264033266</c:v>
                </c:pt>
                <c:pt idx="5">
                  <c:v>6.7272727272727275</c:v>
                </c:pt>
                <c:pt idx="6">
                  <c:v>8.7682672233820451</c:v>
                </c:pt>
                <c:pt idx="7">
                  <c:v>7.5642965204236008</c:v>
                </c:pt>
                <c:pt idx="8">
                  <c:v>4.3795620437956204</c:v>
                </c:pt>
                <c:pt idx="9">
                  <c:v>3.8297872340425534</c:v>
                </c:pt>
                <c:pt idx="10">
                  <c:v>5.4006968641114979</c:v>
                </c:pt>
                <c:pt idx="11">
                  <c:v>2.5380710659898478</c:v>
                </c:pt>
                <c:pt idx="12">
                  <c:v>6.8767908309455583</c:v>
                </c:pt>
                <c:pt idx="13">
                  <c:v>7.7651515151515156</c:v>
                </c:pt>
                <c:pt idx="14">
                  <c:v>8.3116883116883109</c:v>
                </c:pt>
                <c:pt idx="15">
                  <c:v>6.9716775599128544</c:v>
                </c:pt>
                <c:pt idx="16">
                  <c:v>7.3349633251833737</c:v>
                </c:pt>
                <c:pt idx="17">
                  <c:v>3.8636363636363638</c:v>
                </c:pt>
                <c:pt idx="18">
                  <c:v>4.7619047619047619</c:v>
                </c:pt>
                <c:pt idx="19">
                  <c:v>5.9006211180124222</c:v>
                </c:pt>
                <c:pt idx="20">
                  <c:v>8.59375</c:v>
                </c:pt>
                <c:pt idx="21">
                  <c:v>5.46875</c:v>
                </c:pt>
                <c:pt idx="22">
                  <c:v>7.3439412484700126</c:v>
                </c:pt>
                <c:pt idx="23">
                  <c:v>3.5335689045936394</c:v>
                </c:pt>
                <c:pt idx="24">
                  <c:v>6.2992125984251972</c:v>
                </c:pt>
                <c:pt idx="25">
                  <c:v>6.2265566391597895</c:v>
                </c:pt>
                <c:pt idx="26">
                  <c:v>2.8492008339124393</c:v>
                </c:pt>
                <c:pt idx="27">
                  <c:v>3.6772216547497445</c:v>
                </c:pt>
                <c:pt idx="28">
                  <c:v>4.5819014891179837</c:v>
                </c:pt>
                <c:pt idx="29">
                  <c:v>6.7129629629629628</c:v>
                </c:pt>
                <c:pt idx="30">
                  <c:v>4.6234153616703955</c:v>
                </c:pt>
                <c:pt idx="31">
                  <c:v>8.4782608695652169</c:v>
                </c:pt>
                <c:pt idx="32">
                  <c:v>3.2374100719424459</c:v>
                </c:pt>
                <c:pt idx="33">
                  <c:v>6.2193126022913257</c:v>
                </c:pt>
                <c:pt idx="34">
                  <c:v>5.9523809523809526</c:v>
                </c:pt>
                <c:pt idx="35">
                  <c:v>2.2091310751104567</c:v>
                </c:pt>
                <c:pt idx="36">
                  <c:v>3.6243822075782539</c:v>
                </c:pt>
                <c:pt idx="37">
                  <c:v>3.225806451612903</c:v>
                </c:pt>
                <c:pt idx="38">
                  <c:v>1.2113055181695829</c:v>
                </c:pt>
                <c:pt idx="39">
                  <c:v>4.056795131845842</c:v>
                </c:pt>
                <c:pt idx="40">
                  <c:v>4.895104895104895</c:v>
                </c:pt>
                <c:pt idx="41">
                  <c:v>6.4516129032258061</c:v>
                </c:pt>
                <c:pt idx="42">
                  <c:v>3.1866464339908953</c:v>
                </c:pt>
                <c:pt idx="43">
                  <c:v>4.6969696969696972</c:v>
                </c:pt>
                <c:pt idx="44">
                  <c:v>7.4404761904761907</c:v>
                </c:pt>
                <c:pt idx="45">
                  <c:v>4.6925566343042071</c:v>
                </c:pt>
                <c:pt idx="46">
                  <c:v>5.882352941176471</c:v>
                </c:pt>
                <c:pt idx="47">
                  <c:v>6.1607142857142856</c:v>
                </c:pt>
                <c:pt idx="48">
                  <c:v>5.1526717557251906</c:v>
                </c:pt>
                <c:pt idx="49">
                  <c:v>5.2631578947368425</c:v>
                </c:pt>
                <c:pt idx="50">
                  <c:v>3.4090909090909092</c:v>
                </c:pt>
                <c:pt idx="51">
                  <c:v>5.5555555555555554</c:v>
                </c:pt>
                <c:pt idx="52">
                  <c:v>4.0983606557377046</c:v>
                </c:pt>
                <c:pt idx="53">
                  <c:v>8.2278481012658222</c:v>
                </c:pt>
                <c:pt idx="54">
                  <c:v>5.5755395683453237</c:v>
                </c:pt>
                <c:pt idx="55">
                  <c:v>6.6381156316916492</c:v>
                </c:pt>
                <c:pt idx="56">
                  <c:v>4.6382189239332092</c:v>
                </c:pt>
                <c:pt idx="57">
                  <c:v>6.0946271050521252</c:v>
                </c:pt>
                <c:pt idx="58">
                  <c:v>4.4705882352941178</c:v>
                </c:pt>
                <c:pt idx="59">
                  <c:v>4.716981132075472</c:v>
                </c:pt>
                <c:pt idx="60">
                  <c:v>7.1428571428571432</c:v>
                </c:pt>
                <c:pt idx="61">
                  <c:v>3.7094281298299845</c:v>
                </c:pt>
                <c:pt idx="62">
                  <c:v>5.3061224489795915</c:v>
                </c:pt>
                <c:pt idx="63">
                  <c:v>5.1546391752577323</c:v>
                </c:pt>
                <c:pt idx="64">
                  <c:v>5.1546391752577323</c:v>
                </c:pt>
                <c:pt idx="65">
                  <c:v>6.192660550458716</c:v>
                </c:pt>
                <c:pt idx="66">
                  <c:v>6.6239316239316235</c:v>
                </c:pt>
                <c:pt idx="67">
                  <c:v>7.5829383886255926</c:v>
                </c:pt>
                <c:pt idx="68">
                  <c:v>5.6470588235294121</c:v>
                </c:pt>
                <c:pt idx="69">
                  <c:v>6.2695924764890281</c:v>
                </c:pt>
                <c:pt idx="70">
                  <c:v>11.409395973154362</c:v>
                </c:pt>
                <c:pt idx="71">
                  <c:v>6.2121212121212119</c:v>
                </c:pt>
                <c:pt idx="72">
                  <c:v>3.4210526315789473</c:v>
                </c:pt>
                <c:pt idx="73">
                  <c:v>5.4750402576489536</c:v>
                </c:pt>
                <c:pt idx="74">
                  <c:v>3.9513677811550152</c:v>
                </c:pt>
                <c:pt idx="75">
                  <c:v>2.0648967551622417</c:v>
                </c:pt>
                <c:pt idx="76">
                  <c:v>4.7619047619047619</c:v>
                </c:pt>
                <c:pt idx="77">
                  <c:v>3.1496062992125986</c:v>
                </c:pt>
                <c:pt idx="78">
                  <c:v>3.8880248833592534</c:v>
                </c:pt>
                <c:pt idx="79">
                  <c:v>1.7751479289940828</c:v>
                </c:pt>
                <c:pt idx="80">
                  <c:v>3.8759689922480618</c:v>
                </c:pt>
                <c:pt idx="81">
                  <c:v>7.1875</c:v>
                </c:pt>
                <c:pt idx="82">
                  <c:v>1.2121212121212122</c:v>
                </c:pt>
                <c:pt idx="83">
                  <c:v>6.8350668647845465</c:v>
                </c:pt>
                <c:pt idx="84">
                  <c:v>5.9581320450885666</c:v>
                </c:pt>
                <c:pt idx="85">
                  <c:v>3.9568345323741005</c:v>
                </c:pt>
                <c:pt idx="86">
                  <c:v>5.32258064516129</c:v>
                </c:pt>
                <c:pt idx="87">
                  <c:v>3.6968576709796674</c:v>
                </c:pt>
                <c:pt idx="88">
                  <c:v>6.3492063492063489</c:v>
                </c:pt>
                <c:pt idx="89">
                  <c:v>7.6086956521739131</c:v>
                </c:pt>
                <c:pt idx="90">
                  <c:v>7.3170731707317076</c:v>
                </c:pt>
                <c:pt idx="91">
                  <c:v>3.901734104046243</c:v>
                </c:pt>
                <c:pt idx="92">
                  <c:v>3.8535645472061657</c:v>
                </c:pt>
                <c:pt idx="93">
                  <c:v>3.3175355450236967</c:v>
                </c:pt>
                <c:pt idx="94">
                  <c:v>7.9012345679012341</c:v>
                </c:pt>
                <c:pt idx="95">
                  <c:v>5.4245283018867925</c:v>
                </c:pt>
                <c:pt idx="96">
                  <c:v>5.4036872218690402</c:v>
                </c:pt>
                <c:pt idx="97">
                  <c:v>5.078125</c:v>
                </c:pt>
                <c:pt idx="98">
                  <c:v>1.0138248847926268</c:v>
                </c:pt>
                <c:pt idx="99">
                  <c:v>6.6954643628509718</c:v>
                </c:pt>
                <c:pt idx="100">
                  <c:v>0</c:v>
                </c:pt>
                <c:pt idx="101">
                  <c:v>2.8368794326241136</c:v>
                </c:pt>
                <c:pt idx="102">
                  <c:v>3.5714285714285716</c:v>
                </c:pt>
                <c:pt idx="103">
                  <c:v>7.4712643678160919</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2-2D10-4E5E-9489-B18E1CFA942D}"/>
            </c:ext>
          </c:extLst>
        </c:ser>
        <c:ser>
          <c:idx val="11"/>
          <c:order val="3"/>
          <c:tx>
            <c:strRef>
              <c:f>'Мособлдума партии'!$AG$1</c:f>
              <c:strCache>
                <c:ptCount val="1"/>
                <c:pt idx="0">
                  <c:v>Пенсионеров</c:v>
                </c:pt>
              </c:strCache>
            </c:strRef>
          </c:tx>
          <c:spPr>
            <a:solidFill>
              <a:srgbClr val="996633">
                <a:alpha val="49804"/>
              </a:srgbClr>
            </a:solidFill>
            <a:ln w="25400">
              <a:noFill/>
            </a:ln>
            <a:effectLst/>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партии'!$AG$2:$AG$105</c:f>
              <c:numCache>
                <c:formatCode>0.0</c:formatCode>
                <c:ptCount val="104"/>
                <c:pt idx="0">
                  <c:v>3.7174721189591078</c:v>
                </c:pt>
                <c:pt idx="1">
                  <c:v>4.1257367387033401</c:v>
                </c:pt>
                <c:pt idx="2">
                  <c:v>3.9812646370023419</c:v>
                </c:pt>
                <c:pt idx="3">
                  <c:v>6.4891846921797001</c:v>
                </c:pt>
                <c:pt idx="4">
                  <c:v>1.2474012474012475</c:v>
                </c:pt>
                <c:pt idx="5">
                  <c:v>7.8181818181818183</c:v>
                </c:pt>
                <c:pt idx="6">
                  <c:v>6.2630480167014611</c:v>
                </c:pt>
                <c:pt idx="7">
                  <c:v>5.7488653555219367</c:v>
                </c:pt>
                <c:pt idx="8">
                  <c:v>4.9270072992700733</c:v>
                </c:pt>
                <c:pt idx="9">
                  <c:v>2.978723404255319</c:v>
                </c:pt>
                <c:pt idx="10">
                  <c:v>7.6655052264808363</c:v>
                </c:pt>
                <c:pt idx="11">
                  <c:v>5.5837563451776653</c:v>
                </c:pt>
                <c:pt idx="12">
                  <c:v>4.2979942693409745</c:v>
                </c:pt>
                <c:pt idx="13">
                  <c:v>4.5454545454545459</c:v>
                </c:pt>
                <c:pt idx="14">
                  <c:v>5.7142857142857144</c:v>
                </c:pt>
                <c:pt idx="15">
                  <c:v>4.5751633986928102</c:v>
                </c:pt>
                <c:pt idx="16">
                  <c:v>7.3349633251833737</c:v>
                </c:pt>
                <c:pt idx="17">
                  <c:v>4.3181818181818183</c:v>
                </c:pt>
                <c:pt idx="18">
                  <c:v>1.1904761904761905</c:v>
                </c:pt>
                <c:pt idx="19">
                  <c:v>5.9006211180124222</c:v>
                </c:pt>
                <c:pt idx="20">
                  <c:v>5.625</c:v>
                </c:pt>
                <c:pt idx="21">
                  <c:v>2.9296875</c:v>
                </c:pt>
                <c:pt idx="22">
                  <c:v>2.8151774785801713</c:v>
                </c:pt>
                <c:pt idx="23">
                  <c:v>2.8268551236749118</c:v>
                </c:pt>
                <c:pt idx="24">
                  <c:v>8.6614173228346463</c:v>
                </c:pt>
                <c:pt idx="25">
                  <c:v>3.6759189797449361</c:v>
                </c:pt>
                <c:pt idx="26">
                  <c:v>2.3627519110493398</c:v>
                </c:pt>
                <c:pt idx="27">
                  <c:v>4.3922369765066396</c:v>
                </c:pt>
                <c:pt idx="28">
                  <c:v>4.925544100801833</c:v>
                </c:pt>
                <c:pt idx="29">
                  <c:v>6.0185185185185182</c:v>
                </c:pt>
                <c:pt idx="30">
                  <c:v>2.9082774049217002</c:v>
                </c:pt>
                <c:pt idx="31">
                  <c:v>6.0869565217391308</c:v>
                </c:pt>
                <c:pt idx="32">
                  <c:v>3.2374100719424459</c:v>
                </c:pt>
                <c:pt idx="33">
                  <c:v>3.2733224222585924</c:v>
                </c:pt>
                <c:pt idx="34">
                  <c:v>3.1746031746031744</c:v>
                </c:pt>
                <c:pt idx="35">
                  <c:v>2.5036818851251841</c:v>
                </c:pt>
                <c:pt idx="36">
                  <c:v>3.2948929159802307</c:v>
                </c:pt>
                <c:pt idx="37">
                  <c:v>3.3955857385398982</c:v>
                </c:pt>
                <c:pt idx="38">
                  <c:v>4.0376850605652761</c:v>
                </c:pt>
                <c:pt idx="39">
                  <c:v>3.4482758620689653</c:v>
                </c:pt>
                <c:pt idx="40">
                  <c:v>3.9627039627039626</c:v>
                </c:pt>
                <c:pt idx="41">
                  <c:v>4.9853372434017595</c:v>
                </c:pt>
                <c:pt idx="42">
                  <c:v>1.8209408194233687</c:v>
                </c:pt>
                <c:pt idx="43">
                  <c:v>2.4242424242424243</c:v>
                </c:pt>
                <c:pt idx="44">
                  <c:v>5.3571428571428568</c:v>
                </c:pt>
                <c:pt idx="45">
                  <c:v>3.5598705501618122</c:v>
                </c:pt>
                <c:pt idx="46">
                  <c:v>6.9327731092436977</c:v>
                </c:pt>
                <c:pt idx="47">
                  <c:v>2.7678571428571428</c:v>
                </c:pt>
                <c:pt idx="48">
                  <c:v>5.5343511450381682</c:v>
                </c:pt>
                <c:pt idx="49">
                  <c:v>9.1533180778032044</c:v>
                </c:pt>
                <c:pt idx="50">
                  <c:v>6.8181818181818183</c:v>
                </c:pt>
                <c:pt idx="51">
                  <c:v>4.166666666666667</c:v>
                </c:pt>
                <c:pt idx="52">
                  <c:v>5.7377049180327866</c:v>
                </c:pt>
                <c:pt idx="53">
                  <c:v>5.4852320675105481</c:v>
                </c:pt>
                <c:pt idx="54">
                  <c:v>6.4748201438848918</c:v>
                </c:pt>
                <c:pt idx="55">
                  <c:v>7.9229122055674521</c:v>
                </c:pt>
                <c:pt idx="56">
                  <c:v>3.4322820037105752</c:v>
                </c:pt>
                <c:pt idx="57">
                  <c:v>3.1275060144346432</c:v>
                </c:pt>
                <c:pt idx="58">
                  <c:v>4.0784313725490193</c:v>
                </c:pt>
                <c:pt idx="59">
                  <c:v>5.3459119496855347</c:v>
                </c:pt>
                <c:pt idx="60">
                  <c:v>5.1020408163265305</c:v>
                </c:pt>
                <c:pt idx="61">
                  <c:v>3.2457496136012365</c:v>
                </c:pt>
                <c:pt idx="62">
                  <c:v>7.5510204081632653</c:v>
                </c:pt>
                <c:pt idx="63">
                  <c:v>4.8969072164948457</c:v>
                </c:pt>
                <c:pt idx="64">
                  <c:v>5.5670103092783503</c:v>
                </c:pt>
                <c:pt idx="65">
                  <c:v>3.8990825688073394</c:v>
                </c:pt>
                <c:pt idx="66">
                  <c:v>5.3418803418803416</c:v>
                </c:pt>
                <c:pt idx="67">
                  <c:v>7.109004739336493</c:v>
                </c:pt>
                <c:pt idx="68">
                  <c:v>4.4705882352941178</c:v>
                </c:pt>
                <c:pt idx="69">
                  <c:v>5.015673981191223</c:v>
                </c:pt>
                <c:pt idx="70">
                  <c:v>3.3557046979865772</c:v>
                </c:pt>
                <c:pt idx="71">
                  <c:v>5</c:v>
                </c:pt>
                <c:pt idx="72">
                  <c:v>2.3684210526315788</c:v>
                </c:pt>
                <c:pt idx="73">
                  <c:v>4.3478260869565215</c:v>
                </c:pt>
                <c:pt idx="74">
                  <c:v>5.0151975683890582</c:v>
                </c:pt>
                <c:pt idx="75">
                  <c:v>4.4247787610619467</c:v>
                </c:pt>
                <c:pt idx="76">
                  <c:v>3.4226190476190474</c:v>
                </c:pt>
                <c:pt idx="77">
                  <c:v>4.7244094488188972</c:v>
                </c:pt>
                <c:pt idx="78">
                  <c:v>5.7542768273716955</c:v>
                </c:pt>
                <c:pt idx="79">
                  <c:v>3.5502958579881656</c:v>
                </c:pt>
                <c:pt idx="80">
                  <c:v>6.4599483204134369</c:v>
                </c:pt>
                <c:pt idx="81">
                  <c:v>6.25</c:v>
                </c:pt>
                <c:pt idx="82">
                  <c:v>2.6262626262626263</c:v>
                </c:pt>
                <c:pt idx="83">
                  <c:v>6.3893016344725115</c:v>
                </c:pt>
                <c:pt idx="84">
                  <c:v>7.2463768115942031</c:v>
                </c:pt>
                <c:pt idx="85">
                  <c:v>5.7553956834532372</c:v>
                </c:pt>
                <c:pt idx="86">
                  <c:v>5.967741935483871</c:v>
                </c:pt>
                <c:pt idx="87">
                  <c:v>7.763401109057301</c:v>
                </c:pt>
                <c:pt idx="88">
                  <c:v>4.4973544973544977</c:v>
                </c:pt>
                <c:pt idx="89">
                  <c:v>4.8913043478260869</c:v>
                </c:pt>
                <c:pt idx="90">
                  <c:v>6.2330623306233059</c:v>
                </c:pt>
                <c:pt idx="91">
                  <c:v>5.7803468208092488</c:v>
                </c:pt>
                <c:pt idx="92">
                  <c:v>4.8169556840077075</c:v>
                </c:pt>
                <c:pt idx="93">
                  <c:v>3.5545023696682465</c:v>
                </c:pt>
                <c:pt idx="94">
                  <c:v>7.4074074074074074</c:v>
                </c:pt>
                <c:pt idx="95">
                  <c:v>5.4245283018867925</c:v>
                </c:pt>
                <c:pt idx="96">
                  <c:v>1.8436109345200253</c:v>
                </c:pt>
                <c:pt idx="97">
                  <c:v>3.046875</c:v>
                </c:pt>
                <c:pt idx="98">
                  <c:v>1.0138248847926268</c:v>
                </c:pt>
                <c:pt idx="99">
                  <c:v>6.2634989200863931</c:v>
                </c:pt>
                <c:pt idx="100">
                  <c:v>0</c:v>
                </c:pt>
                <c:pt idx="101">
                  <c:v>2.1276595744680851</c:v>
                </c:pt>
                <c:pt idx="102">
                  <c:v>8.3333333333333339</c:v>
                </c:pt>
                <c:pt idx="103">
                  <c:v>2.8735632183908044</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3-2D10-4E5E-9489-B18E1CFA942D}"/>
            </c:ext>
          </c:extLst>
        </c:ser>
        <c:ser>
          <c:idx val="12"/>
          <c:order val="4"/>
          <c:tx>
            <c:strRef>
              <c:f>'Мособлдума партии'!$AI$1</c:f>
              <c:strCache>
                <c:ptCount val="1"/>
                <c:pt idx="0">
                  <c:v>КПРФ</c:v>
                </c:pt>
              </c:strCache>
            </c:strRef>
          </c:tx>
          <c:spPr>
            <a:solidFill>
              <a:srgbClr val="FF0000">
                <a:alpha val="49804"/>
              </a:srgbClr>
            </a:solidFill>
            <a:ln w="25400">
              <a:noFill/>
            </a:ln>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партии'!$AI$2:$AI$105</c:f>
              <c:numCache>
                <c:formatCode>0.0</c:formatCode>
                <c:ptCount val="104"/>
                <c:pt idx="0">
                  <c:v>30.111524163568774</c:v>
                </c:pt>
                <c:pt idx="1">
                  <c:v>17.878192534381139</c:v>
                </c:pt>
                <c:pt idx="2">
                  <c:v>9.3676814988290396</c:v>
                </c:pt>
                <c:pt idx="3">
                  <c:v>19.467554076539102</c:v>
                </c:pt>
                <c:pt idx="4">
                  <c:v>8.7318087318087318</c:v>
                </c:pt>
                <c:pt idx="5">
                  <c:v>22.181818181818183</c:v>
                </c:pt>
                <c:pt idx="6">
                  <c:v>23.382045929018791</c:v>
                </c:pt>
                <c:pt idx="7">
                  <c:v>24.20574886535552</c:v>
                </c:pt>
                <c:pt idx="8">
                  <c:v>11.131386861313869</c:v>
                </c:pt>
                <c:pt idx="9">
                  <c:v>18.297872340425531</c:v>
                </c:pt>
                <c:pt idx="10">
                  <c:v>21.080139372822298</c:v>
                </c:pt>
                <c:pt idx="11">
                  <c:v>16.751269035532996</c:v>
                </c:pt>
                <c:pt idx="12">
                  <c:v>26.361031518624642</c:v>
                </c:pt>
                <c:pt idx="13">
                  <c:v>20.075757575757574</c:v>
                </c:pt>
                <c:pt idx="14">
                  <c:v>12.207792207792208</c:v>
                </c:pt>
                <c:pt idx="15">
                  <c:v>20.043572984749456</c:v>
                </c:pt>
                <c:pt idx="16">
                  <c:v>21.515892420537899</c:v>
                </c:pt>
                <c:pt idx="17">
                  <c:v>12.954545454545455</c:v>
                </c:pt>
                <c:pt idx="18">
                  <c:v>16.071428571428573</c:v>
                </c:pt>
                <c:pt idx="19">
                  <c:v>24.06832298136646</c:v>
                </c:pt>
                <c:pt idx="20">
                  <c:v>20.46875</c:v>
                </c:pt>
                <c:pt idx="21">
                  <c:v>19.140625</c:v>
                </c:pt>
                <c:pt idx="22">
                  <c:v>5.1407588739290082</c:v>
                </c:pt>
                <c:pt idx="23">
                  <c:v>7.0671378091872787</c:v>
                </c:pt>
                <c:pt idx="24">
                  <c:v>23.622047244094489</c:v>
                </c:pt>
                <c:pt idx="25">
                  <c:v>16.354088522130532</c:v>
                </c:pt>
                <c:pt idx="26">
                  <c:v>9.728978457261988</c:v>
                </c:pt>
                <c:pt idx="27">
                  <c:v>10.725229826353422</c:v>
                </c:pt>
                <c:pt idx="28">
                  <c:v>14.547537227949599</c:v>
                </c:pt>
                <c:pt idx="29">
                  <c:v>13.194444444444445</c:v>
                </c:pt>
                <c:pt idx="30">
                  <c:v>14.243102162565251</c:v>
                </c:pt>
                <c:pt idx="31">
                  <c:v>19.782608695652176</c:v>
                </c:pt>
                <c:pt idx="32">
                  <c:v>2.1582733812949639</c:v>
                </c:pt>
                <c:pt idx="33">
                  <c:v>17.51227495908347</c:v>
                </c:pt>
                <c:pt idx="34">
                  <c:v>22.089947089947088</c:v>
                </c:pt>
                <c:pt idx="35">
                  <c:v>14.727540500736376</c:v>
                </c:pt>
                <c:pt idx="36">
                  <c:v>14.662273476112027</c:v>
                </c:pt>
                <c:pt idx="37">
                  <c:v>14.261460101867572</c:v>
                </c:pt>
                <c:pt idx="38">
                  <c:v>11.978465679676985</c:v>
                </c:pt>
                <c:pt idx="39">
                  <c:v>19.878296146044626</c:v>
                </c:pt>
                <c:pt idx="40">
                  <c:v>17.249417249417249</c:v>
                </c:pt>
                <c:pt idx="41">
                  <c:v>26.979472140762464</c:v>
                </c:pt>
                <c:pt idx="42">
                  <c:v>18.512898330804248</c:v>
                </c:pt>
                <c:pt idx="43">
                  <c:v>16.818181818181817</c:v>
                </c:pt>
                <c:pt idx="44">
                  <c:v>16.071428571428573</c:v>
                </c:pt>
                <c:pt idx="45">
                  <c:v>18.446601941747574</c:v>
                </c:pt>
                <c:pt idx="46">
                  <c:v>21.428571428571427</c:v>
                </c:pt>
                <c:pt idx="47">
                  <c:v>15.267857142857142</c:v>
                </c:pt>
                <c:pt idx="48">
                  <c:v>26.145038167938932</c:v>
                </c:pt>
                <c:pt idx="49">
                  <c:v>24.48512585812357</c:v>
                </c:pt>
                <c:pt idx="50">
                  <c:v>27.272727272727273</c:v>
                </c:pt>
                <c:pt idx="51">
                  <c:v>38.888888888888886</c:v>
                </c:pt>
                <c:pt idx="52">
                  <c:v>31.967213114754099</c:v>
                </c:pt>
                <c:pt idx="53">
                  <c:v>22.784810126582279</c:v>
                </c:pt>
                <c:pt idx="54">
                  <c:v>21.223021582733814</c:v>
                </c:pt>
                <c:pt idx="55">
                  <c:v>20.556745182012847</c:v>
                </c:pt>
                <c:pt idx="56">
                  <c:v>10.018552875695732</c:v>
                </c:pt>
                <c:pt idx="57">
                  <c:v>14.83560545308741</c:v>
                </c:pt>
                <c:pt idx="58">
                  <c:v>13.254901960784315</c:v>
                </c:pt>
                <c:pt idx="59">
                  <c:v>26.729559748427672</c:v>
                </c:pt>
                <c:pt idx="60">
                  <c:v>25.510204081632654</c:v>
                </c:pt>
                <c:pt idx="61">
                  <c:v>15.146831530139103</c:v>
                </c:pt>
                <c:pt idx="62">
                  <c:v>29.387755102040817</c:v>
                </c:pt>
                <c:pt idx="63">
                  <c:v>29.381443298969071</c:v>
                </c:pt>
                <c:pt idx="64">
                  <c:v>29.690721649484537</c:v>
                </c:pt>
                <c:pt idx="65">
                  <c:v>23.853211009174313</c:v>
                </c:pt>
                <c:pt idx="66">
                  <c:v>31.837606837606838</c:v>
                </c:pt>
                <c:pt idx="67">
                  <c:v>28.436018957345972</c:v>
                </c:pt>
                <c:pt idx="68">
                  <c:v>24</c:v>
                </c:pt>
                <c:pt idx="69">
                  <c:v>27.272727272727273</c:v>
                </c:pt>
                <c:pt idx="70">
                  <c:v>39.597315436241608</c:v>
                </c:pt>
                <c:pt idx="71">
                  <c:v>22.272727272727273</c:v>
                </c:pt>
                <c:pt idx="72">
                  <c:v>7.1052631578947372</c:v>
                </c:pt>
                <c:pt idx="73">
                  <c:v>17.713365539452496</c:v>
                </c:pt>
                <c:pt idx="74">
                  <c:v>18.844984802431611</c:v>
                </c:pt>
                <c:pt idx="75">
                  <c:v>18.289085545722713</c:v>
                </c:pt>
                <c:pt idx="76">
                  <c:v>19.047619047619047</c:v>
                </c:pt>
                <c:pt idx="77">
                  <c:v>18.4251968503937</c:v>
                </c:pt>
                <c:pt idx="78">
                  <c:v>17.884914463452567</c:v>
                </c:pt>
                <c:pt idx="79">
                  <c:v>13.609467455621301</c:v>
                </c:pt>
                <c:pt idx="80">
                  <c:v>25.581395348837209</c:v>
                </c:pt>
                <c:pt idx="81">
                  <c:v>17.5</c:v>
                </c:pt>
                <c:pt idx="82">
                  <c:v>8.6868686868686869</c:v>
                </c:pt>
                <c:pt idx="83">
                  <c:v>23.179791976225854</c:v>
                </c:pt>
                <c:pt idx="84">
                  <c:v>17.391304347826086</c:v>
                </c:pt>
                <c:pt idx="85">
                  <c:v>20.14388489208633</c:v>
                </c:pt>
                <c:pt idx="86">
                  <c:v>19.193548387096776</c:v>
                </c:pt>
                <c:pt idx="87">
                  <c:v>26.98706099815157</c:v>
                </c:pt>
                <c:pt idx="88">
                  <c:v>1.5873015873015872</c:v>
                </c:pt>
                <c:pt idx="89">
                  <c:v>17.119565217391305</c:v>
                </c:pt>
                <c:pt idx="90">
                  <c:v>22.764227642276424</c:v>
                </c:pt>
                <c:pt idx="91">
                  <c:v>13.00578034682081</c:v>
                </c:pt>
                <c:pt idx="92">
                  <c:v>18.497109826589597</c:v>
                </c:pt>
                <c:pt idx="93">
                  <c:v>12.322274881516588</c:v>
                </c:pt>
                <c:pt idx="94">
                  <c:v>25.679012345679013</c:v>
                </c:pt>
                <c:pt idx="95">
                  <c:v>24.764150943396228</c:v>
                </c:pt>
                <c:pt idx="96">
                  <c:v>11.315956770502225</c:v>
                </c:pt>
                <c:pt idx="97">
                  <c:v>16.953125</c:v>
                </c:pt>
                <c:pt idx="98">
                  <c:v>14.838709677419354</c:v>
                </c:pt>
                <c:pt idx="99">
                  <c:v>24.838012958963283</c:v>
                </c:pt>
                <c:pt idx="100">
                  <c:v>3.9024390243902438</c:v>
                </c:pt>
                <c:pt idx="101">
                  <c:v>2.1276595744680851</c:v>
                </c:pt>
                <c:pt idx="102">
                  <c:v>11.30952380952381</c:v>
                </c:pt>
                <c:pt idx="103">
                  <c:v>13.218390804597702</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4-2D10-4E5E-9489-B18E1CFA942D}"/>
            </c:ext>
          </c:extLst>
        </c:ser>
        <c:ser>
          <c:idx val="13"/>
          <c:order val="5"/>
          <c:tx>
            <c:strRef>
              <c:f>'Мособлдума партии'!$AK$1</c:f>
              <c:strCache>
                <c:ptCount val="1"/>
                <c:pt idx="0">
                  <c:v>Единая Россия</c:v>
                </c:pt>
              </c:strCache>
            </c:strRef>
          </c:tx>
          <c:spPr>
            <a:solidFill>
              <a:srgbClr val="0000FF">
                <a:alpha val="49804"/>
              </a:srgbClr>
            </a:solidFill>
            <a:ln w="25400"/>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партии'!$AK$2:$AK$105</c:f>
              <c:numCache>
                <c:formatCode>0.0</c:formatCode>
                <c:ptCount val="104"/>
                <c:pt idx="0">
                  <c:v>35.315985130111521</c:v>
                </c:pt>
                <c:pt idx="1">
                  <c:v>43.025540275049117</c:v>
                </c:pt>
                <c:pt idx="2">
                  <c:v>67.915690866510545</c:v>
                </c:pt>
                <c:pt idx="3">
                  <c:v>36.10648918469218</c:v>
                </c:pt>
                <c:pt idx="4">
                  <c:v>64.449064449064451</c:v>
                </c:pt>
                <c:pt idx="5">
                  <c:v>33.090909090909093</c:v>
                </c:pt>
                <c:pt idx="6">
                  <c:v>34.029227557411275</c:v>
                </c:pt>
                <c:pt idx="7">
                  <c:v>32.829046898638424</c:v>
                </c:pt>
                <c:pt idx="8">
                  <c:v>42.153284671532845</c:v>
                </c:pt>
                <c:pt idx="9">
                  <c:v>36.382978723404257</c:v>
                </c:pt>
                <c:pt idx="10">
                  <c:v>33.10104529616725</c:v>
                </c:pt>
                <c:pt idx="11">
                  <c:v>54.060913705583758</c:v>
                </c:pt>
                <c:pt idx="12">
                  <c:v>34.383954154727796</c:v>
                </c:pt>
                <c:pt idx="13">
                  <c:v>35.795454545454547</c:v>
                </c:pt>
                <c:pt idx="14">
                  <c:v>35.324675324675326</c:v>
                </c:pt>
                <c:pt idx="15">
                  <c:v>29.193899782135077</c:v>
                </c:pt>
                <c:pt idx="16">
                  <c:v>32.029339853300733</c:v>
                </c:pt>
                <c:pt idx="17">
                  <c:v>60</c:v>
                </c:pt>
                <c:pt idx="18">
                  <c:v>55.357142857142854</c:v>
                </c:pt>
                <c:pt idx="19">
                  <c:v>32.453416149068325</c:v>
                </c:pt>
                <c:pt idx="20">
                  <c:v>33.75</c:v>
                </c:pt>
                <c:pt idx="21">
                  <c:v>49.609375</c:v>
                </c:pt>
                <c:pt idx="22">
                  <c:v>82.252141982864131</c:v>
                </c:pt>
                <c:pt idx="23">
                  <c:v>53.003533568904594</c:v>
                </c:pt>
                <c:pt idx="24">
                  <c:v>34.120734908136484</c:v>
                </c:pt>
                <c:pt idx="25">
                  <c:v>43.585896474118528</c:v>
                </c:pt>
                <c:pt idx="26">
                  <c:v>70.048644892286305</c:v>
                </c:pt>
                <c:pt idx="27">
                  <c:v>59.346271705822268</c:v>
                </c:pt>
                <c:pt idx="28">
                  <c:v>47.079037800687288</c:v>
                </c:pt>
                <c:pt idx="29">
                  <c:v>46.064814814814817</c:v>
                </c:pt>
                <c:pt idx="30">
                  <c:v>52.274422073079791</c:v>
                </c:pt>
                <c:pt idx="31">
                  <c:v>30.869565217391305</c:v>
                </c:pt>
                <c:pt idx="32">
                  <c:v>73.741007194244602</c:v>
                </c:pt>
                <c:pt idx="33">
                  <c:v>53.682487725040914</c:v>
                </c:pt>
                <c:pt idx="34">
                  <c:v>44.708994708994709</c:v>
                </c:pt>
                <c:pt idx="35">
                  <c:v>63.18114874815906</c:v>
                </c:pt>
                <c:pt idx="36">
                  <c:v>60.461285008237233</c:v>
                </c:pt>
                <c:pt idx="37">
                  <c:v>62.648556876061122</c:v>
                </c:pt>
                <c:pt idx="38">
                  <c:v>47.240915208613728</c:v>
                </c:pt>
                <c:pt idx="39">
                  <c:v>51.521298174442194</c:v>
                </c:pt>
                <c:pt idx="40">
                  <c:v>53.379953379953378</c:v>
                </c:pt>
                <c:pt idx="41">
                  <c:v>29.032258064516128</c:v>
                </c:pt>
                <c:pt idx="42">
                  <c:v>56.752655538694995</c:v>
                </c:pt>
                <c:pt idx="43">
                  <c:v>49.393939393939391</c:v>
                </c:pt>
                <c:pt idx="44">
                  <c:v>34.821428571428569</c:v>
                </c:pt>
                <c:pt idx="45">
                  <c:v>53.883495145631066</c:v>
                </c:pt>
                <c:pt idx="46">
                  <c:v>26.890756302521009</c:v>
                </c:pt>
                <c:pt idx="47">
                  <c:v>55.178571428571431</c:v>
                </c:pt>
                <c:pt idx="48">
                  <c:v>33.587786259541986</c:v>
                </c:pt>
                <c:pt idx="49">
                  <c:v>27.459954233409611</c:v>
                </c:pt>
                <c:pt idx="50">
                  <c:v>27.272727272727273</c:v>
                </c:pt>
                <c:pt idx="51">
                  <c:v>23.611111111111111</c:v>
                </c:pt>
                <c:pt idx="52">
                  <c:v>30.327868852459016</c:v>
                </c:pt>
                <c:pt idx="53">
                  <c:v>32.489451476793249</c:v>
                </c:pt>
                <c:pt idx="54">
                  <c:v>32.374100719424462</c:v>
                </c:pt>
                <c:pt idx="55">
                  <c:v>29.978586723768736</c:v>
                </c:pt>
                <c:pt idx="56">
                  <c:v>53.71057513914657</c:v>
                </c:pt>
                <c:pt idx="57">
                  <c:v>44.42662389735365</c:v>
                </c:pt>
                <c:pt idx="58">
                  <c:v>50.588235294117645</c:v>
                </c:pt>
                <c:pt idx="59">
                  <c:v>29.874213836477988</c:v>
                </c:pt>
                <c:pt idx="60">
                  <c:v>26.020408163265305</c:v>
                </c:pt>
                <c:pt idx="61">
                  <c:v>57.650695517774345</c:v>
                </c:pt>
                <c:pt idx="62">
                  <c:v>25.714285714285715</c:v>
                </c:pt>
                <c:pt idx="63">
                  <c:v>36.340206185567013</c:v>
                </c:pt>
                <c:pt idx="64">
                  <c:v>31.546391752577321</c:v>
                </c:pt>
                <c:pt idx="65">
                  <c:v>27.75229357798165</c:v>
                </c:pt>
                <c:pt idx="66">
                  <c:v>25.213675213675213</c:v>
                </c:pt>
                <c:pt idx="67">
                  <c:v>25.592417061611375</c:v>
                </c:pt>
                <c:pt idx="68">
                  <c:v>41.647058823529413</c:v>
                </c:pt>
                <c:pt idx="69">
                  <c:v>36.677115987460816</c:v>
                </c:pt>
                <c:pt idx="70">
                  <c:v>20.134228187919462</c:v>
                </c:pt>
                <c:pt idx="71">
                  <c:v>31.515151515151516</c:v>
                </c:pt>
                <c:pt idx="72">
                  <c:v>66.315789473684205</c:v>
                </c:pt>
                <c:pt idx="73">
                  <c:v>51.207729468599034</c:v>
                </c:pt>
                <c:pt idx="74">
                  <c:v>51.063829787234042</c:v>
                </c:pt>
                <c:pt idx="75">
                  <c:v>54.277286135693217</c:v>
                </c:pt>
                <c:pt idx="76">
                  <c:v>52.976190476190474</c:v>
                </c:pt>
                <c:pt idx="77">
                  <c:v>48.346456692913385</c:v>
                </c:pt>
                <c:pt idx="78">
                  <c:v>47.589424572317263</c:v>
                </c:pt>
                <c:pt idx="79">
                  <c:v>58.579881656804737</c:v>
                </c:pt>
                <c:pt idx="80">
                  <c:v>32.816537467700257</c:v>
                </c:pt>
                <c:pt idx="81">
                  <c:v>43.4375</c:v>
                </c:pt>
                <c:pt idx="82">
                  <c:v>80.404040404040401</c:v>
                </c:pt>
                <c:pt idx="83">
                  <c:v>33.878157503714711</c:v>
                </c:pt>
                <c:pt idx="84">
                  <c:v>42.028985507246375</c:v>
                </c:pt>
                <c:pt idx="85">
                  <c:v>52.158273381294961</c:v>
                </c:pt>
                <c:pt idx="86">
                  <c:v>42.741935483870968</c:v>
                </c:pt>
                <c:pt idx="87">
                  <c:v>33.086876155268023</c:v>
                </c:pt>
                <c:pt idx="88">
                  <c:v>54.4973544973545</c:v>
                </c:pt>
                <c:pt idx="89">
                  <c:v>32.336956521739133</c:v>
                </c:pt>
                <c:pt idx="90">
                  <c:v>29.26829268292683</c:v>
                </c:pt>
                <c:pt idx="91">
                  <c:v>58.959537572254334</c:v>
                </c:pt>
                <c:pt idx="92">
                  <c:v>43.930635838150287</c:v>
                </c:pt>
                <c:pt idx="93">
                  <c:v>61.374407582938389</c:v>
                </c:pt>
                <c:pt idx="94">
                  <c:v>28.888888888888889</c:v>
                </c:pt>
                <c:pt idx="95">
                  <c:v>31.60377358490566</c:v>
                </c:pt>
                <c:pt idx="96">
                  <c:v>53.019707565162108</c:v>
                </c:pt>
                <c:pt idx="97">
                  <c:v>43.515625</c:v>
                </c:pt>
                <c:pt idx="98">
                  <c:v>74.930875576036868</c:v>
                </c:pt>
                <c:pt idx="99">
                  <c:v>27.861771058315334</c:v>
                </c:pt>
                <c:pt idx="100">
                  <c:v>91.219512195121951</c:v>
                </c:pt>
                <c:pt idx="101">
                  <c:v>82.269503546099287</c:v>
                </c:pt>
                <c:pt idx="102">
                  <c:v>55.357142857142854</c:v>
                </c:pt>
                <c:pt idx="103">
                  <c:v>49.425287356321839</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5-2D10-4E5E-9489-B18E1CFA942D}"/>
            </c:ext>
          </c:extLst>
        </c:ser>
        <c:ser>
          <c:idx val="14"/>
          <c:order val="6"/>
          <c:tx>
            <c:strRef>
              <c:f>'Мособлдума партии'!$AM$1</c:f>
              <c:strCache>
                <c:ptCount val="1"/>
                <c:pt idx="0">
                  <c:v>Экол. зеленые</c:v>
                </c:pt>
              </c:strCache>
            </c:strRef>
          </c:tx>
          <c:spPr>
            <a:solidFill>
              <a:srgbClr val="66FF99">
                <a:alpha val="49804"/>
              </a:srgbClr>
            </a:solidFill>
            <a:ln w="25400">
              <a:noFill/>
            </a:ln>
            <a:effectLst/>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партии'!$AM$2:$AM$105</c:f>
              <c:numCache>
                <c:formatCode>0.0</c:formatCode>
                <c:ptCount val="104"/>
                <c:pt idx="0">
                  <c:v>1.1152416356877324</c:v>
                </c:pt>
                <c:pt idx="1">
                  <c:v>2.3575638506876229</c:v>
                </c:pt>
                <c:pt idx="2">
                  <c:v>0.93676814988290402</c:v>
                </c:pt>
                <c:pt idx="3">
                  <c:v>1.9966722129783694</c:v>
                </c:pt>
                <c:pt idx="4">
                  <c:v>1.8711018711018712</c:v>
                </c:pt>
                <c:pt idx="5">
                  <c:v>2</c:v>
                </c:pt>
                <c:pt idx="6">
                  <c:v>2.5052192066805845</c:v>
                </c:pt>
                <c:pt idx="7">
                  <c:v>2.118003025718608</c:v>
                </c:pt>
                <c:pt idx="8">
                  <c:v>1.4598540145985401</c:v>
                </c:pt>
                <c:pt idx="9">
                  <c:v>1.2765957446808511</c:v>
                </c:pt>
                <c:pt idx="10">
                  <c:v>1.9163763066202091</c:v>
                </c:pt>
                <c:pt idx="11">
                  <c:v>1.2690355329949239</c:v>
                </c:pt>
                <c:pt idx="12">
                  <c:v>2.5787965616045847</c:v>
                </c:pt>
                <c:pt idx="13">
                  <c:v>3.0303030303030303</c:v>
                </c:pt>
                <c:pt idx="14">
                  <c:v>1.0389610389610389</c:v>
                </c:pt>
                <c:pt idx="15">
                  <c:v>2.6143790849673203</c:v>
                </c:pt>
                <c:pt idx="16">
                  <c:v>2.2004889975550124</c:v>
                </c:pt>
                <c:pt idx="17">
                  <c:v>0.68181818181818177</c:v>
                </c:pt>
                <c:pt idx="18">
                  <c:v>1.7857142857142858</c:v>
                </c:pt>
                <c:pt idx="19">
                  <c:v>2.7950310559006213</c:v>
                </c:pt>
                <c:pt idx="20">
                  <c:v>2.65625</c:v>
                </c:pt>
                <c:pt idx="21">
                  <c:v>3.3203125</c:v>
                </c:pt>
                <c:pt idx="22">
                  <c:v>0</c:v>
                </c:pt>
                <c:pt idx="23">
                  <c:v>0.70671378091872794</c:v>
                </c:pt>
                <c:pt idx="24">
                  <c:v>2.3622047244094486</c:v>
                </c:pt>
                <c:pt idx="25">
                  <c:v>2.2505626406601649</c:v>
                </c:pt>
                <c:pt idx="26">
                  <c:v>0.97289784572619875</c:v>
                </c:pt>
                <c:pt idx="27">
                  <c:v>1.7364657814096016</c:v>
                </c:pt>
                <c:pt idx="28">
                  <c:v>1.7182130584192439</c:v>
                </c:pt>
                <c:pt idx="29">
                  <c:v>2.3148148148148149</c:v>
                </c:pt>
                <c:pt idx="30">
                  <c:v>1.9388516032811334</c:v>
                </c:pt>
                <c:pt idx="31">
                  <c:v>3.0434782608695654</c:v>
                </c:pt>
                <c:pt idx="32">
                  <c:v>2.5179856115107913</c:v>
                </c:pt>
                <c:pt idx="33">
                  <c:v>1.1456628477905073</c:v>
                </c:pt>
                <c:pt idx="34">
                  <c:v>1.5873015873015872</c:v>
                </c:pt>
                <c:pt idx="35">
                  <c:v>2.0618556701030926</c:v>
                </c:pt>
                <c:pt idx="36">
                  <c:v>2.8006589785831961</c:v>
                </c:pt>
                <c:pt idx="37">
                  <c:v>1.0186757215619695</c:v>
                </c:pt>
                <c:pt idx="38">
                  <c:v>4.4414535666218038</c:v>
                </c:pt>
                <c:pt idx="39">
                  <c:v>1.8255578093306288</c:v>
                </c:pt>
                <c:pt idx="40">
                  <c:v>1.9813519813519813</c:v>
                </c:pt>
                <c:pt idx="41">
                  <c:v>2.9325513196480939</c:v>
                </c:pt>
                <c:pt idx="42">
                  <c:v>2.4279210925644916</c:v>
                </c:pt>
                <c:pt idx="43">
                  <c:v>1.5151515151515151</c:v>
                </c:pt>
                <c:pt idx="44">
                  <c:v>4.166666666666667</c:v>
                </c:pt>
                <c:pt idx="45">
                  <c:v>1.4563106796116505</c:v>
                </c:pt>
                <c:pt idx="46">
                  <c:v>3.3613445378151261</c:v>
                </c:pt>
                <c:pt idx="47">
                  <c:v>2.7678571428571428</c:v>
                </c:pt>
                <c:pt idx="48">
                  <c:v>2.4809160305343512</c:v>
                </c:pt>
                <c:pt idx="49">
                  <c:v>0.91533180778032042</c:v>
                </c:pt>
                <c:pt idx="50">
                  <c:v>2.2727272727272729</c:v>
                </c:pt>
                <c:pt idx="51">
                  <c:v>1.3888888888888888</c:v>
                </c:pt>
                <c:pt idx="52">
                  <c:v>0.81967213114754101</c:v>
                </c:pt>
                <c:pt idx="53">
                  <c:v>1.2658227848101267</c:v>
                </c:pt>
                <c:pt idx="54">
                  <c:v>1.6187050359712229</c:v>
                </c:pt>
                <c:pt idx="55">
                  <c:v>2.3554603854389722</c:v>
                </c:pt>
                <c:pt idx="56">
                  <c:v>1.484230055658627</c:v>
                </c:pt>
                <c:pt idx="57">
                  <c:v>1.6038492381716118</c:v>
                </c:pt>
                <c:pt idx="58">
                  <c:v>2.0392156862745097</c:v>
                </c:pt>
                <c:pt idx="59">
                  <c:v>2.2012578616352201</c:v>
                </c:pt>
                <c:pt idx="60">
                  <c:v>2.5510204081632653</c:v>
                </c:pt>
                <c:pt idx="61">
                  <c:v>1.0819165378670788</c:v>
                </c:pt>
                <c:pt idx="62">
                  <c:v>2.2448979591836733</c:v>
                </c:pt>
                <c:pt idx="63">
                  <c:v>1.2886597938144331</c:v>
                </c:pt>
                <c:pt idx="64">
                  <c:v>2.6804123711340204</c:v>
                </c:pt>
                <c:pt idx="65">
                  <c:v>4.1284403669724767</c:v>
                </c:pt>
                <c:pt idx="66">
                  <c:v>1.2820512820512822</c:v>
                </c:pt>
                <c:pt idx="67">
                  <c:v>1.4218009478672986</c:v>
                </c:pt>
                <c:pt idx="68">
                  <c:v>1.8823529411764706</c:v>
                </c:pt>
                <c:pt idx="69">
                  <c:v>3.4482758620689653</c:v>
                </c:pt>
                <c:pt idx="70">
                  <c:v>0.67114093959731547</c:v>
                </c:pt>
                <c:pt idx="71">
                  <c:v>1.8181818181818181</c:v>
                </c:pt>
                <c:pt idx="72">
                  <c:v>0.52631578947368418</c:v>
                </c:pt>
                <c:pt idx="73">
                  <c:v>2.4154589371980677</c:v>
                </c:pt>
                <c:pt idx="74">
                  <c:v>1.9756838905775076</c:v>
                </c:pt>
                <c:pt idx="75">
                  <c:v>1.1799410029498525</c:v>
                </c:pt>
                <c:pt idx="76">
                  <c:v>0.44642857142857145</c:v>
                </c:pt>
                <c:pt idx="77">
                  <c:v>1.1023622047244095</c:v>
                </c:pt>
                <c:pt idx="78">
                  <c:v>1.088646967340591</c:v>
                </c:pt>
                <c:pt idx="79">
                  <c:v>0.59171597633136097</c:v>
                </c:pt>
                <c:pt idx="80">
                  <c:v>1.2919896640826873</c:v>
                </c:pt>
                <c:pt idx="81">
                  <c:v>0.3125</c:v>
                </c:pt>
                <c:pt idx="82">
                  <c:v>0.80808080808080807</c:v>
                </c:pt>
                <c:pt idx="83">
                  <c:v>1.7830609212481427</c:v>
                </c:pt>
                <c:pt idx="84">
                  <c:v>1.6103059581320451</c:v>
                </c:pt>
                <c:pt idx="85">
                  <c:v>1.4388489208633093</c:v>
                </c:pt>
                <c:pt idx="86">
                  <c:v>1.1290322580645162</c:v>
                </c:pt>
                <c:pt idx="87">
                  <c:v>2.033271719038817</c:v>
                </c:pt>
                <c:pt idx="88">
                  <c:v>0.79365079365079361</c:v>
                </c:pt>
                <c:pt idx="89">
                  <c:v>1.9021739130434783</c:v>
                </c:pt>
                <c:pt idx="90">
                  <c:v>2.168021680216802</c:v>
                </c:pt>
                <c:pt idx="91">
                  <c:v>1.7341040462427746</c:v>
                </c:pt>
                <c:pt idx="92">
                  <c:v>1.7341040462427746</c:v>
                </c:pt>
                <c:pt idx="93">
                  <c:v>1.8957345971563981</c:v>
                </c:pt>
                <c:pt idx="94">
                  <c:v>2.4691358024691357</c:v>
                </c:pt>
                <c:pt idx="95">
                  <c:v>1.6509433962264151</c:v>
                </c:pt>
                <c:pt idx="96">
                  <c:v>1.8436109345200253</c:v>
                </c:pt>
                <c:pt idx="97">
                  <c:v>1.71875</c:v>
                </c:pt>
                <c:pt idx="98">
                  <c:v>0.55299539170506917</c:v>
                </c:pt>
                <c:pt idx="99">
                  <c:v>2.8077753779697625</c:v>
                </c:pt>
                <c:pt idx="100">
                  <c:v>0</c:v>
                </c:pt>
                <c:pt idx="101">
                  <c:v>0</c:v>
                </c:pt>
                <c:pt idx="102">
                  <c:v>2.9761904761904763</c:v>
                </c:pt>
                <c:pt idx="103">
                  <c:v>6.8965517241379306</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6-2D10-4E5E-9489-B18E1CFA942D}"/>
            </c:ext>
          </c:extLst>
        </c:ser>
        <c:ser>
          <c:idx val="15"/>
          <c:order val="7"/>
          <c:tx>
            <c:strRef>
              <c:f>'Мособлдума партии'!$AO$1</c:f>
              <c:strCache>
                <c:ptCount val="1"/>
                <c:pt idx="0">
                  <c:v>Яблоко</c:v>
                </c:pt>
              </c:strCache>
            </c:strRef>
          </c:tx>
          <c:spPr>
            <a:solidFill>
              <a:srgbClr val="FF00FF">
                <a:alpha val="50000"/>
              </a:srgbClr>
            </a:solidFill>
            <a:ln w="25400">
              <a:noFill/>
            </a:ln>
            <a:effectLst/>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партии'!$AO$2:$AO$105</c:f>
              <c:numCache>
                <c:formatCode>0.0</c:formatCode>
                <c:ptCount val="104"/>
                <c:pt idx="0">
                  <c:v>2.6022304832713754</c:v>
                </c:pt>
                <c:pt idx="1">
                  <c:v>2.5540275049115913</c:v>
                </c:pt>
                <c:pt idx="2">
                  <c:v>1.873536299765808</c:v>
                </c:pt>
                <c:pt idx="3">
                  <c:v>1.6638935108153079</c:v>
                </c:pt>
                <c:pt idx="4">
                  <c:v>2.4948024948024949</c:v>
                </c:pt>
                <c:pt idx="5">
                  <c:v>1.6363636363636365</c:v>
                </c:pt>
                <c:pt idx="6">
                  <c:v>1.6701461377870563</c:v>
                </c:pt>
                <c:pt idx="7">
                  <c:v>2.2692889561270801</c:v>
                </c:pt>
                <c:pt idx="8">
                  <c:v>1.0948905109489051</c:v>
                </c:pt>
                <c:pt idx="9">
                  <c:v>0.63829787234042556</c:v>
                </c:pt>
                <c:pt idx="10">
                  <c:v>3.3101045296167246</c:v>
                </c:pt>
                <c:pt idx="11">
                  <c:v>1.5228426395939085</c:v>
                </c:pt>
                <c:pt idx="12">
                  <c:v>3.151862464183381</c:v>
                </c:pt>
                <c:pt idx="13">
                  <c:v>1.5151515151515151</c:v>
                </c:pt>
                <c:pt idx="14">
                  <c:v>1.8181818181818181</c:v>
                </c:pt>
                <c:pt idx="15">
                  <c:v>3.0501089324618738</c:v>
                </c:pt>
                <c:pt idx="16">
                  <c:v>1.9559902200488997</c:v>
                </c:pt>
                <c:pt idx="17">
                  <c:v>2.0454545454545454</c:v>
                </c:pt>
                <c:pt idx="18">
                  <c:v>1.1904761904761905</c:v>
                </c:pt>
                <c:pt idx="19">
                  <c:v>3.7267080745341614</c:v>
                </c:pt>
                <c:pt idx="20">
                  <c:v>3.75</c:v>
                </c:pt>
                <c:pt idx="21">
                  <c:v>2.9296875</c:v>
                </c:pt>
                <c:pt idx="22">
                  <c:v>0</c:v>
                </c:pt>
                <c:pt idx="23">
                  <c:v>0.35335689045936397</c:v>
                </c:pt>
                <c:pt idx="24">
                  <c:v>1.3123359580052494</c:v>
                </c:pt>
                <c:pt idx="25">
                  <c:v>3.4508627156789196</c:v>
                </c:pt>
                <c:pt idx="26">
                  <c:v>1.2508686587908269</c:v>
                </c:pt>
                <c:pt idx="27">
                  <c:v>2.5536261491317673</c:v>
                </c:pt>
                <c:pt idx="28">
                  <c:v>1.7182130584192439</c:v>
                </c:pt>
                <c:pt idx="29">
                  <c:v>0.92592592592592593</c:v>
                </c:pt>
                <c:pt idx="30">
                  <c:v>2.0134228187919465</c:v>
                </c:pt>
                <c:pt idx="31">
                  <c:v>1.9565217391304348</c:v>
                </c:pt>
                <c:pt idx="32">
                  <c:v>2.8776978417266186</c:v>
                </c:pt>
                <c:pt idx="33">
                  <c:v>3.4369885433715219</c:v>
                </c:pt>
                <c:pt idx="34">
                  <c:v>5.1587301587301591</c:v>
                </c:pt>
                <c:pt idx="35">
                  <c:v>0.88365243004418259</c:v>
                </c:pt>
                <c:pt idx="36">
                  <c:v>0.82372322899505768</c:v>
                </c:pt>
                <c:pt idx="37">
                  <c:v>1.6977928692699491</c:v>
                </c:pt>
                <c:pt idx="38">
                  <c:v>3.4993270524899058</c:v>
                </c:pt>
                <c:pt idx="39">
                  <c:v>1.8255578093306288</c:v>
                </c:pt>
                <c:pt idx="40">
                  <c:v>2.9137529137529139</c:v>
                </c:pt>
                <c:pt idx="41">
                  <c:v>1.466275659824047</c:v>
                </c:pt>
                <c:pt idx="42">
                  <c:v>1.9726858877086495</c:v>
                </c:pt>
                <c:pt idx="43">
                  <c:v>4.2424242424242422</c:v>
                </c:pt>
                <c:pt idx="44">
                  <c:v>2.6785714285714284</c:v>
                </c:pt>
                <c:pt idx="45">
                  <c:v>2.4271844660194173</c:v>
                </c:pt>
                <c:pt idx="46">
                  <c:v>5.6722689075630255</c:v>
                </c:pt>
                <c:pt idx="47">
                  <c:v>3.75</c:v>
                </c:pt>
                <c:pt idx="48">
                  <c:v>0.38167938931297712</c:v>
                </c:pt>
                <c:pt idx="49">
                  <c:v>0.68649885583524028</c:v>
                </c:pt>
                <c:pt idx="50">
                  <c:v>0</c:v>
                </c:pt>
                <c:pt idx="51">
                  <c:v>1.3888888888888888</c:v>
                </c:pt>
                <c:pt idx="52">
                  <c:v>0</c:v>
                </c:pt>
                <c:pt idx="53">
                  <c:v>2.109704641350211</c:v>
                </c:pt>
                <c:pt idx="54">
                  <c:v>2.3381294964028778</c:v>
                </c:pt>
                <c:pt idx="55">
                  <c:v>3.2119914346895073</c:v>
                </c:pt>
                <c:pt idx="56">
                  <c:v>3.339517625231911</c:v>
                </c:pt>
                <c:pt idx="57">
                  <c:v>5.2125100240577389</c:v>
                </c:pt>
                <c:pt idx="58">
                  <c:v>2.2745098039215685</c:v>
                </c:pt>
                <c:pt idx="59">
                  <c:v>4.716981132075472</c:v>
                </c:pt>
                <c:pt idx="60">
                  <c:v>3.0612244897959182</c:v>
                </c:pt>
                <c:pt idx="61">
                  <c:v>2.1638330757341575</c:v>
                </c:pt>
                <c:pt idx="62">
                  <c:v>4.8979591836734695</c:v>
                </c:pt>
                <c:pt idx="63">
                  <c:v>2.5773195876288661</c:v>
                </c:pt>
                <c:pt idx="64">
                  <c:v>4.9484536082474229</c:v>
                </c:pt>
                <c:pt idx="65">
                  <c:v>5.9633027522935782</c:v>
                </c:pt>
                <c:pt idx="66">
                  <c:v>7.0512820512820511</c:v>
                </c:pt>
                <c:pt idx="67">
                  <c:v>3.080568720379147</c:v>
                </c:pt>
                <c:pt idx="68">
                  <c:v>2.3529411764705883</c:v>
                </c:pt>
                <c:pt idx="69">
                  <c:v>5.015673981191223</c:v>
                </c:pt>
                <c:pt idx="70">
                  <c:v>3.3557046979865772</c:v>
                </c:pt>
                <c:pt idx="71">
                  <c:v>4.2424242424242422</c:v>
                </c:pt>
                <c:pt idx="72">
                  <c:v>0.78947368421052633</c:v>
                </c:pt>
                <c:pt idx="73">
                  <c:v>1.1272141706924315</c:v>
                </c:pt>
                <c:pt idx="74">
                  <c:v>1.8237082066869301</c:v>
                </c:pt>
                <c:pt idx="75">
                  <c:v>0.58997050147492625</c:v>
                </c:pt>
                <c:pt idx="76">
                  <c:v>1.3392857142857142</c:v>
                </c:pt>
                <c:pt idx="77">
                  <c:v>0.62992125984251968</c:v>
                </c:pt>
                <c:pt idx="78">
                  <c:v>0.93312597200622083</c:v>
                </c:pt>
                <c:pt idx="79">
                  <c:v>0</c:v>
                </c:pt>
                <c:pt idx="80">
                  <c:v>1.0335917312661498</c:v>
                </c:pt>
                <c:pt idx="81">
                  <c:v>0</c:v>
                </c:pt>
                <c:pt idx="82">
                  <c:v>0.80808080808080807</c:v>
                </c:pt>
                <c:pt idx="83">
                  <c:v>1.9316493313521546</c:v>
                </c:pt>
                <c:pt idx="84">
                  <c:v>1.4492753623188406</c:v>
                </c:pt>
                <c:pt idx="85">
                  <c:v>1.4388489208633093</c:v>
                </c:pt>
                <c:pt idx="86">
                  <c:v>1.4516129032258065</c:v>
                </c:pt>
                <c:pt idx="87">
                  <c:v>3.142329020332717</c:v>
                </c:pt>
                <c:pt idx="88">
                  <c:v>2.6455026455026456</c:v>
                </c:pt>
                <c:pt idx="89">
                  <c:v>2.9891304347826089</c:v>
                </c:pt>
                <c:pt idx="90">
                  <c:v>3.5230352303523036</c:v>
                </c:pt>
                <c:pt idx="91">
                  <c:v>2.1676300578034682</c:v>
                </c:pt>
                <c:pt idx="92">
                  <c:v>2.6974951830443161</c:v>
                </c:pt>
                <c:pt idx="93">
                  <c:v>0.47393364928909953</c:v>
                </c:pt>
                <c:pt idx="94">
                  <c:v>5.9259259259259256</c:v>
                </c:pt>
                <c:pt idx="95">
                  <c:v>1.6509433962264151</c:v>
                </c:pt>
                <c:pt idx="96">
                  <c:v>3.4965034965034967</c:v>
                </c:pt>
                <c:pt idx="97">
                  <c:v>2.890625</c:v>
                </c:pt>
                <c:pt idx="98">
                  <c:v>0.82949308755760365</c:v>
                </c:pt>
                <c:pt idx="99">
                  <c:v>4.5356371490280774</c:v>
                </c:pt>
                <c:pt idx="100">
                  <c:v>0</c:v>
                </c:pt>
                <c:pt idx="101">
                  <c:v>2.1276595744680851</c:v>
                </c:pt>
                <c:pt idx="102">
                  <c:v>0</c:v>
                </c:pt>
                <c:pt idx="103">
                  <c:v>1.7241379310344827</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7-2D10-4E5E-9489-B18E1CFA942D}"/>
            </c:ext>
          </c:extLst>
        </c:ser>
        <c:ser>
          <c:idx val="4"/>
          <c:order val="8"/>
          <c:tx>
            <c:strRef>
              <c:f>'Мособлдума партии'!$AQ$1</c:f>
              <c:strCache>
                <c:ptCount val="1"/>
                <c:pt idx="0">
                  <c:v>КР</c:v>
                </c:pt>
              </c:strCache>
            </c:strRef>
          </c:tx>
          <c:spPr>
            <a:solidFill>
              <a:srgbClr val="FF9999">
                <a:alpha val="50000"/>
              </a:srgbClr>
            </a:solidFill>
            <a:ln w="25400">
              <a:noFill/>
            </a:ln>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партии'!$AQ$2:$AQ$105</c:f>
              <c:numCache>
                <c:formatCode>0.0</c:formatCode>
                <c:ptCount val="104"/>
                <c:pt idx="0">
                  <c:v>1.486988847583643</c:v>
                </c:pt>
                <c:pt idx="1">
                  <c:v>2.9469548133595285</c:v>
                </c:pt>
                <c:pt idx="2">
                  <c:v>2.1077283372365341</c:v>
                </c:pt>
                <c:pt idx="3">
                  <c:v>2.6622296173044924</c:v>
                </c:pt>
                <c:pt idx="4">
                  <c:v>1.8711018711018712</c:v>
                </c:pt>
                <c:pt idx="5">
                  <c:v>1.8181818181818181</c:v>
                </c:pt>
                <c:pt idx="6">
                  <c:v>1.8789144050104385</c:v>
                </c:pt>
                <c:pt idx="7">
                  <c:v>1.6641452344931922</c:v>
                </c:pt>
                <c:pt idx="8">
                  <c:v>0.54744525547445255</c:v>
                </c:pt>
                <c:pt idx="9">
                  <c:v>0.85106382978723405</c:v>
                </c:pt>
                <c:pt idx="10">
                  <c:v>1.2195121951219512</c:v>
                </c:pt>
                <c:pt idx="11">
                  <c:v>1.2690355329949239</c:v>
                </c:pt>
                <c:pt idx="12">
                  <c:v>3.151862464183381</c:v>
                </c:pt>
                <c:pt idx="13">
                  <c:v>2.2727272727272729</c:v>
                </c:pt>
                <c:pt idx="14">
                  <c:v>1.8181818181818181</c:v>
                </c:pt>
                <c:pt idx="15">
                  <c:v>0.8714596949891068</c:v>
                </c:pt>
                <c:pt idx="16">
                  <c:v>2.4449877750611249</c:v>
                </c:pt>
                <c:pt idx="17">
                  <c:v>2.0454545454545454</c:v>
                </c:pt>
                <c:pt idx="18">
                  <c:v>2.3809523809523809</c:v>
                </c:pt>
                <c:pt idx="19">
                  <c:v>1.8633540372670807</c:v>
                </c:pt>
                <c:pt idx="20">
                  <c:v>1.875</c:v>
                </c:pt>
                <c:pt idx="21">
                  <c:v>2.9296875</c:v>
                </c:pt>
                <c:pt idx="22">
                  <c:v>0</c:v>
                </c:pt>
                <c:pt idx="23">
                  <c:v>0.70671378091872794</c:v>
                </c:pt>
                <c:pt idx="24">
                  <c:v>2.6246719160104988</c:v>
                </c:pt>
                <c:pt idx="25">
                  <c:v>1.800450112528132</c:v>
                </c:pt>
                <c:pt idx="26">
                  <c:v>1.1118832522585129</c:v>
                </c:pt>
                <c:pt idx="27">
                  <c:v>1.634320735444331</c:v>
                </c:pt>
                <c:pt idx="28">
                  <c:v>1.7182130584192439</c:v>
                </c:pt>
                <c:pt idx="29">
                  <c:v>2.3148148148148149</c:v>
                </c:pt>
                <c:pt idx="30">
                  <c:v>1.4168530947054436</c:v>
                </c:pt>
                <c:pt idx="31">
                  <c:v>3.0434782608695654</c:v>
                </c:pt>
                <c:pt idx="32">
                  <c:v>1.079136690647482</c:v>
                </c:pt>
                <c:pt idx="33">
                  <c:v>1.3093289689034371</c:v>
                </c:pt>
                <c:pt idx="34">
                  <c:v>1.1904761904761905</c:v>
                </c:pt>
                <c:pt idx="35">
                  <c:v>1.3254786450662739</c:v>
                </c:pt>
                <c:pt idx="36">
                  <c:v>1.812191103789127</c:v>
                </c:pt>
                <c:pt idx="37">
                  <c:v>1.3582342954159592</c:v>
                </c:pt>
                <c:pt idx="38">
                  <c:v>1.4804845222072678</c:v>
                </c:pt>
                <c:pt idx="39">
                  <c:v>0.81135902636916835</c:v>
                </c:pt>
                <c:pt idx="40">
                  <c:v>1.5151515151515151</c:v>
                </c:pt>
                <c:pt idx="41">
                  <c:v>2.6392961876832843</c:v>
                </c:pt>
                <c:pt idx="42">
                  <c:v>0.75872534142640369</c:v>
                </c:pt>
                <c:pt idx="43">
                  <c:v>2.1212121212121211</c:v>
                </c:pt>
                <c:pt idx="44">
                  <c:v>2.3809523809523809</c:v>
                </c:pt>
                <c:pt idx="45">
                  <c:v>1.4563106796116505</c:v>
                </c:pt>
                <c:pt idx="46">
                  <c:v>3.3613445378151261</c:v>
                </c:pt>
                <c:pt idx="47">
                  <c:v>1.0714285714285714</c:v>
                </c:pt>
                <c:pt idx="48">
                  <c:v>2.8625954198473282</c:v>
                </c:pt>
                <c:pt idx="49">
                  <c:v>3.6613272311212817</c:v>
                </c:pt>
                <c:pt idx="50">
                  <c:v>4.5454545454545459</c:v>
                </c:pt>
                <c:pt idx="51">
                  <c:v>2.7777777777777777</c:v>
                </c:pt>
                <c:pt idx="52">
                  <c:v>4.0983606557377046</c:v>
                </c:pt>
                <c:pt idx="53">
                  <c:v>1.4767932489451476</c:v>
                </c:pt>
                <c:pt idx="54">
                  <c:v>2.3381294964028778</c:v>
                </c:pt>
                <c:pt idx="55">
                  <c:v>1.9271948608137044</c:v>
                </c:pt>
                <c:pt idx="56">
                  <c:v>1.3914656771799629</c:v>
                </c:pt>
                <c:pt idx="57">
                  <c:v>1.7642341619887731</c:v>
                </c:pt>
                <c:pt idx="58">
                  <c:v>1.9607843137254901</c:v>
                </c:pt>
                <c:pt idx="59">
                  <c:v>2.5157232704402515</c:v>
                </c:pt>
                <c:pt idx="60">
                  <c:v>2.295918367346939</c:v>
                </c:pt>
                <c:pt idx="61">
                  <c:v>0.92735703245749612</c:v>
                </c:pt>
                <c:pt idx="62">
                  <c:v>3.6734693877551021</c:v>
                </c:pt>
                <c:pt idx="63">
                  <c:v>2.5773195876288661</c:v>
                </c:pt>
                <c:pt idx="64">
                  <c:v>1.0309278350515463</c:v>
                </c:pt>
                <c:pt idx="65">
                  <c:v>2.2935779816513762</c:v>
                </c:pt>
                <c:pt idx="66">
                  <c:v>1.2820512820512822</c:v>
                </c:pt>
                <c:pt idx="67">
                  <c:v>1.8957345971563981</c:v>
                </c:pt>
                <c:pt idx="68">
                  <c:v>1.411764705882353</c:v>
                </c:pt>
                <c:pt idx="69">
                  <c:v>1.567398119122257</c:v>
                </c:pt>
                <c:pt idx="70">
                  <c:v>2.0134228187919465</c:v>
                </c:pt>
                <c:pt idx="71">
                  <c:v>2.4242424242424243</c:v>
                </c:pt>
                <c:pt idx="72">
                  <c:v>1.3157894736842106</c:v>
                </c:pt>
                <c:pt idx="73">
                  <c:v>1.6103059581320451</c:v>
                </c:pt>
                <c:pt idx="74">
                  <c:v>1.8237082066869301</c:v>
                </c:pt>
                <c:pt idx="75">
                  <c:v>1.1799410029498525</c:v>
                </c:pt>
                <c:pt idx="76">
                  <c:v>1.0416666666666667</c:v>
                </c:pt>
                <c:pt idx="77">
                  <c:v>2.204724409448819</c:v>
                </c:pt>
                <c:pt idx="78">
                  <c:v>1.7107309486780715</c:v>
                </c:pt>
                <c:pt idx="79">
                  <c:v>2.9585798816568047</c:v>
                </c:pt>
                <c:pt idx="80">
                  <c:v>4.1343669250645991</c:v>
                </c:pt>
                <c:pt idx="81">
                  <c:v>2.8125</c:v>
                </c:pt>
                <c:pt idx="82">
                  <c:v>0.80808080808080807</c:v>
                </c:pt>
                <c:pt idx="83">
                  <c:v>3.5661218424962855</c:v>
                </c:pt>
                <c:pt idx="84">
                  <c:v>1.288244766505636</c:v>
                </c:pt>
                <c:pt idx="85">
                  <c:v>0.71942446043165464</c:v>
                </c:pt>
                <c:pt idx="86">
                  <c:v>2.5806451612903225</c:v>
                </c:pt>
                <c:pt idx="87">
                  <c:v>1.8484288354898337</c:v>
                </c:pt>
                <c:pt idx="88">
                  <c:v>15.343915343915343</c:v>
                </c:pt>
                <c:pt idx="89">
                  <c:v>1.3586956521739131</c:v>
                </c:pt>
                <c:pt idx="90">
                  <c:v>1.6260162601626016</c:v>
                </c:pt>
                <c:pt idx="91">
                  <c:v>1.5895953757225434</c:v>
                </c:pt>
                <c:pt idx="92">
                  <c:v>1.9267822736030829</c:v>
                </c:pt>
                <c:pt idx="93">
                  <c:v>3.3175355450236967</c:v>
                </c:pt>
                <c:pt idx="94">
                  <c:v>1.4814814814814814</c:v>
                </c:pt>
                <c:pt idx="95">
                  <c:v>3.5377358490566038</c:v>
                </c:pt>
                <c:pt idx="96">
                  <c:v>1.2714558169103625</c:v>
                </c:pt>
                <c:pt idx="97">
                  <c:v>1.5625</c:v>
                </c:pt>
                <c:pt idx="98">
                  <c:v>0.64516129032258063</c:v>
                </c:pt>
                <c:pt idx="99">
                  <c:v>2.5917926565874732</c:v>
                </c:pt>
                <c:pt idx="100">
                  <c:v>0</c:v>
                </c:pt>
                <c:pt idx="101">
                  <c:v>0</c:v>
                </c:pt>
                <c:pt idx="102">
                  <c:v>2.3809523809523809</c:v>
                </c:pt>
                <c:pt idx="103">
                  <c:v>2.2988505747126435</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8-2D10-4E5E-9489-B18E1CFA942D}"/>
            </c:ext>
          </c:extLst>
        </c:ser>
        <c:ser>
          <c:idx val="5"/>
          <c:order val="9"/>
          <c:tx>
            <c:strRef>
              <c:f>'Мособлдума партии'!$AS$1</c:f>
              <c:strCache>
                <c:ptCount val="1"/>
                <c:pt idx="0">
                  <c:v>СР</c:v>
                </c:pt>
              </c:strCache>
            </c:strRef>
          </c:tx>
          <c:spPr>
            <a:solidFill>
              <a:srgbClr val="6666FF">
                <a:alpha val="50000"/>
              </a:srgbClr>
            </a:solidFill>
            <a:ln w="25400"/>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партии'!$AS$2:$AS$105</c:f>
              <c:numCache>
                <c:formatCode>0.0</c:formatCode>
                <c:ptCount val="104"/>
                <c:pt idx="0">
                  <c:v>8.921933085501859</c:v>
                </c:pt>
                <c:pt idx="1">
                  <c:v>4.3222003929273081</c:v>
                </c:pt>
                <c:pt idx="2">
                  <c:v>4.4496487119437935</c:v>
                </c:pt>
                <c:pt idx="3">
                  <c:v>7.8202995008319469</c:v>
                </c:pt>
                <c:pt idx="4">
                  <c:v>3.9501039501039501</c:v>
                </c:pt>
                <c:pt idx="5">
                  <c:v>7.4545454545454541</c:v>
                </c:pt>
                <c:pt idx="6">
                  <c:v>6.4718162839248432</c:v>
                </c:pt>
                <c:pt idx="7">
                  <c:v>6.0514372163388801</c:v>
                </c:pt>
                <c:pt idx="8">
                  <c:v>4.7445255474452557</c:v>
                </c:pt>
                <c:pt idx="9">
                  <c:v>4.6808510638297873</c:v>
                </c:pt>
                <c:pt idx="10">
                  <c:v>7.8397212543554007</c:v>
                </c:pt>
                <c:pt idx="11">
                  <c:v>1.7766497461928934</c:v>
                </c:pt>
                <c:pt idx="12">
                  <c:v>6.0171919770773643</c:v>
                </c:pt>
                <c:pt idx="13">
                  <c:v>8.1439393939393945</c:v>
                </c:pt>
                <c:pt idx="14">
                  <c:v>7.0129870129870131</c:v>
                </c:pt>
                <c:pt idx="15">
                  <c:v>6.1002178649237475</c:v>
                </c:pt>
                <c:pt idx="16">
                  <c:v>10.268948655256724</c:v>
                </c:pt>
                <c:pt idx="17">
                  <c:v>3.4090909090909092</c:v>
                </c:pt>
                <c:pt idx="18">
                  <c:v>2.9761904761904763</c:v>
                </c:pt>
                <c:pt idx="19">
                  <c:v>7.7639751552795033</c:v>
                </c:pt>
                <c:pt idx="20">
                  <c:v>7.34375</c:v>
                </c:pt>
                <c:pt idx="21">
                  <c:v>1.953125</c:v>
                </c:pt>
                <c:pt idx="22">
                  <c:v>0</c:v>
                </c:pt>
                <c:pt idx="23">
                  <c:v>1.0600706713780919</c:v>
                </c:pt>
                <c:pt idx="24">
                  <c:v>6.0367454068241466</c:v>
                </c:pt>
                <c:pt idx="25">
                  <c:v>4.2010502625656416</c:v>
                </c:pt>
                <c:pt idx="26">
                  <c:v>4.0305767894371094</c:v>
                </c:pt>
                <c:pt idx="27">
                  <c:v>2.3493360572012256</c:v>
                </c:pt>
                <c:pt idx="28">
                  <c:v>5.8419243986254292</c:v>
                </c:pt>
                <c:pt idx="29">
                  <c:v>5.5555555555555554</c:v>
                </c:pt>
                <c:pt idx="30">
                  <c:v>3.3557046979865772</c:v>
                </c:pt>
                <c:pt idx="31">
                  <c:v>5.2173913043478262</c:v>
                </c:pt>
                <c:pt idx="32">
                  <c:v>3.9568345323741005</c:v>
                </c:pt>
                <c:pt idx="33">
                  <c:v>3.2733224222585924</c:v>
                </c:pt>
                <c:pt idx="34">
                  <c:v>6.746031746031746</c:v>
                </c:pt>
                <c:pt idx="35">
                  <c:v>3.3873343151693667</c:v>
                </c:pt>
                <c:pt idx="36">
                  <c:v>5.930807248764415</c:v>
                </c:pt>
                <c:pt idx="37">
                  <c:v>3.7351443123938881</c:v>
                </c:pt>
                <c:pt idx="38">
                  <c:v>2.826379542395693</c:v>
                </c:pt>
                <c:pt idx="39">
                  <c:v>5.2738336713995944</c:v>
                </c:pt>
                <c:pt idx="40">
                  <c:v>3.1468531468531467</c:v>
                </c:pt>
                <c:pt idx="41">
                  <c:v>9.3841642228739008</c:v>
                </c:pt>
                <c:pt idx="42">
                  <c:v>5.0075872534142638</c:v>
                </c:pt>
                <c:pt idx="43">
                  <c:v>5.9090909090909092</c:v>
                </c:pt>
                <c:pt idx="44">
                  <c:v>7.1428571428571432</c:v>
                </c:pt>
                <c:pt idx="45">
                  <c:v>5.3398058252427187</c:v>
                </c:pt>
                <c:pt idx="46">
                  <c:v>7.3529411764705879</c:v>
                </c:pt>
                <c:pt idx="47">
                  <c:v>4.1071428571428568</c:v>
                </c:pt>
                <c:pt idx="48">
                  <c:v>5.343511450381679</c:v>
                </c:pt>
                <c:pt idx="49">
                  <c:v>7.5514874141876431</c:v>
                </c:pt>
                <c:pt idx="50">
                  <c:v>9.0909090909090917</c:v>
                </c:pt>
                <c:pt idx="51">
                  <c:v>5.5555555555555554</c:v>
                </c:pt>
                <c:pt idx="52">
                  <c:v>4.0983606557377046</c:v>
                </c:pt>
                <c:pt idx="53">
                  <c:v>6.5400843881856536</c:v>
                </c:pt>
                <c:pt idx="54">
                  <c:v>7.5539568345323742</c:v>
                </c:pt>
                <c:pt idx="55">
                  <c:v>7.0663811563169165</c:v>
                </c:pt>
                <c:pt idx="56">
                  <c:v>3.5250463821892395</c:v>
                </c:pt>
                <c:pt idx="57">
                  <c:v>4.6511627906976747</c:v>
                </c:pt>
                <c:pt idx="58">
                  <c:v>3.8431372549019609</c:v>
                </c:pt>
                <c:pt idx="59">
                  <c:v>11.0062893081761</c:v>
                </c:pt>
                <c:pt idx="60">
                  <c:v>5.1020408163265305</c:v>
                </c:pt>
                <c:pt idx="61">
                  <c:v>2.3183925811437405</c:v>
                </c:pt>
                <c:pt idx="62">
                  <c:v>6.9387755102040813</c:v>
                </c:pt>
                <c:pt idx="63">
                  <c:v>5.6701030927835054</c:v>
                </c:pt>
                <c:pt idx="64">
                  <c:v>4.1237113402061851</c:v>
                </c:pt>
                <c:pt idx="65">
                  <c:v>9.1743119266055047</c:v>
                </c:pt>
                <c:pt idx="66">
                  <c:v>6.8376068376068373</c:v>
                </c:pt>
                <c:pt idx="67">
                  <c:v>7.5829383886255926</c:v>
                </c:pt>
                <c:pt idx="68">
                  <c:v>4.4705882352941178</c:v>
                </c:pt>
                <c:pt idx="69">
                  <c:v>6.5830721003134798</c:v>
                </c:pt>
                <c:pt idx="70">
                  <c:v>4.6979865771812079</c:v>
                </c:pt>
                <c:pt idx="71">
                  <c:v>8.6363636363636367</c:v>
                </c:pt>
                <c:pt idx="72">
                  <c:v>2.8947368421052633</c:v>
                </c:pt>
                <c:pt idx="73">
                  <c:v>4.0257648953301128</c:v>
                </c:pt>
                <c:pt idx="74">
                  <c:v>3.6474164133738602</c:v>
                </c:pt>
                <c:pt idx="75">
                  <c:v>4.71976401179941</c:v>
                </c:pt>
                <c:pt idx="76">
                  <c:v>6.1011904761904763</c:v>
                </c:pt>
                <c:pt idx="77">
                  <c:v>4.5669291338582676</c:v>
                </c:pt>
                <c:pt idx="78">
                  <c:v>5.4432348367029553</c:v>
                </c:pt>
                <c:pt idx="79">
                  <c:v>4.7337278106508878</c:v>
                </c:pt>
                <c:pt idx="80">
                  <c:v>4.909560723514212</c:v>
                </c:pt>
                <c:pt idx="81">
                  <c:v>5.3125</c:v>
                </c:pt>
                <c:pt idx="82">
                  <c:v>0.80808080808080807</c:v>
                </c:pt>
                <c:pt idx="83">
                  <c:v>6.092124814264487</c:v>
                </c:pt>
                <c:pt idx="84">
                  <c:v>6.4412238325281805</c:v>
                </c:pt>
                <c:pt idx="85">
                  <c:v>3.5971223021582732</c:v>
                </c:pt>
                <c:pt idx="86">
                  <c:v>5.806451612903226</c:v>
                </c:pt>
                <c:pt idx="87">
                  <c:v>6.4695009242144179</c:v>
                </c:pt>
                <c:pt idx="88">
                  <c:v>3.7037037037037037</c:v>
                </c:pt>
                <c:pt idx="89">
                  <c:v>3.8043478260869565</c:v>
                </c:pt>
                <c:pt idx="90">
                  <c:v>8.1300813008130088</c:v>
                </c:pt>
                <c:pt idx="91">
                  <c:v>3.4682080924855492</c:v>
                </c:pt>
                <c:pt idx="92">
                  <c:v>5.973025048169557</c:v>
                </c:pt>
                <c:pt idx="93">
                  <c:v>3.3175355450236967</c:v>
                </c:pt>
                <c:pt idx="94">
                  <c:v>5.9259259259259256</c:v>
                </c:pt>
                <c:pt idx="95">
                  <c:v>7.783018867924528</c:v>
                </c:pt>
                <c:pt idx="96">
                  <c:v>2.6700572155117608</c:v>
                </c:pt>
                <c:pt idx="97">
                  <c:v>3.828125</c:v>
                </c:pt>
                <c:pt idx="98">
                  <c:v>0.73732718894009219</c:v>
                </c:pt>
                <c:pt idx="99">
                  <c:v>7.5593952483801292</c:v>
                </c:pt>
                <c:pt idx="100">
                  <c:v>0</c:v>
                </c:pt>
                <c:pt idx="101">
                  <c:v>2.1276595744680851</c:v>
                </c:pt>
                <c:pt idx="102">
                  <c:v>1.7857142857142858</c:v>
                </c:pt>
                <c:pt idx="103">
                  <c:v>2.8735632183908044</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9-2D10-4E5E-9489-B18E1CFA942D}"/>
            </c:ext>
          </c:extLst>
        </c:ser>
        <c:ser>
          <c:idx val="0"/>
          <c:order val="10"/>
          <c:tx>
            <c:strRef>
              <c:f>'Мособлдума партии'!$V$1</c:f>
              <c:strCache>
                <c:ptCount val="1"/>
                <c:pt idx="0">
                  <c:v>Недействительных</c:v>
                </c:pt>
              </c:strCache>
            </c:strRef>
          </c:tx>
          <c:spPr>
            <a:noFill/>
            <a:ln w="6350">
              <a:solidFill>
                <a:srgbClr val="000000"/>
              </a:solidFill>
            </a:ln>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партии'!$V$2:$V$105</c:f>
              <c:numCache>
                <c:formatCode>0.0</c:formatCode>
                <c:ptCount val="104"/>
                <c:pt idx="0">
                  <c:v>4.8327137546468402</c:v>
                </c:pt>
                <c:pt idx="1">
                  <c:v>5.6974459724950881</c:v>
                </c:pt>
                <c:pt idx="2">
                  <c:v>1.873536299765808</c:v>
                </c:pt>
                <c:pt idx="3">
                  <c:v>8.8186356073211307</c:v>
                </c:pt>
                <c:pt idx="4">
                  <c:v>6.2370062370062369</c:v>
                </c:pt>
                <c:pt idx="5">
                  <c:v>5.6363636363636367</c:v>
                </c:pt>
                <c:pt idx="6">
                  <c:v>3.1315240083507305</c:v>
                </c:pt>
                <c:pt idx="7">
                  <c:v>6.3540090771558244</c:v>
                </c:pt>
                <c:pt idx="8">
                  <c:v>9.4890510948905114</c:v>
                </c:pt>
                <c:pt idx="9">
                  <c:v>23.191489361702128</c:v>
                </c:pt>
                <c:pt idx="10">
                  <c:v>5.9233449477351918</c:v>
                </c:pt>
                <c:pt idx="11">
                  <c:v>5.0761421319796955</c:v>
                </c:pt>
                <c:pt idx="12">
                  <c:v>4.5845272206303722</c:v>
                </c:pt>
                <c:pt idx="13">
                  <c:v>4.9242424242424239</c:v>
                </c:pt>
                <c:pt idx="14">
                  <c:v>14.805194805194805</c:v>
                </c:pt>
                <c:pt idx="15">
                  <c:v>10.239651416122005</c:v>
                </c:pt>
                <c:pt idx="16">
                  <c:v>6.6014669926650367</c:v>
                </c:pt>
                <c:pt idx="17">
                  <c:v>3.4090909090909092</c:v>
                </c:pt>
                <c:pt idx="18">
                  <c:v>2.3809523809523809</c:v>
                </c:pt>
                <c:pt idx="19">
                  <c:v>5.9006211180124222</c:v>
                </c:pt>
                <c:pt idx="20">
                  <c:v>4.6875</c:v>
                </c:pt>
                <c:pt idx="21">
                  <c:v>4.6875</c:v>
                </c:pt>
                <c:pt idx="22">
                  <c:v>0</c:v>
                </c:pt>
                <c:pt idx="23">
                  <c:v>23.674911660777386</c:v>
                </c:pt>
                <c:pt idx="24">
                  <c:v>5.2493438320209975</c:v>
                </c:pt>
                <c:pt idx="25">
                  <c:v>4.5761440360090022</c:v>
                </c:pt>
                <c:pt idx="26">
                  <c:v>2.0152883947185547</c:v>
                </c:pt>
                <c:pt idx="27">
                  <c:v>4.085801838610827</c:v>
                </c:pt>
                <c:pt idx="28">
                  <c:v>5.61282932416953</c:v>
                </c:pt>
                <c:pt idx="29">
                  <c:v>8.1018518518518512</c:v>
                </c:pt>
                <c:pt idx="30">
                  <c:v>4.6979865771812079</c:v>
                </c:pt>
                <c:pt idx="31">
                  <c:v>8.4782608695652169</c:v>
                </c:pt>
                <c:pt idx="32">
                  <c:v>1.4388489208633093</c:v>
                </c:pt>
                <c:pt idx="33">
                  <c:v>2.2913256955810146</c:v>
                </c:pt>
                <c:pt idx="34">
                  <c:v>1.7195767195767195</c:v>
                </c:pt>
                <c:pt idx="35">
                  <c:v>2.2091310751104567</c:v>
                </c:pt>
                <c:pt idx="36">
                  <c:v>2.1416803953871497</c:v>
                </c:pt>
                <c:pt idx="37">
                  <c:v>2.2071307300509337</c:v>
                </c:pt>
                <c:pt idx="38">
                  <c:v>18.304172274562585</c:v>
                </c:pt>
                <c:pt idx="39">
                  <c:v>2.2312373225152129</c:v>
                </c:pt>
                <c:pt idx="40">
                  <c:v>2.2144522144522143</c:v>
                </c:pt>
                <c:pt idx="41">
                  <c:v>6.1583577712609969</c:v>
                </c:pt>
                <c:pt idx="42">
                  <c:v>2.7314112291350532</c:v>
                </c:pt>
                <c:pt idx="43">
                  <c:v>4.2424242424242422</c:v>
                </c:pt>
                <c:pt idx="44">
                  <c:v>3.2738095238095237</c:v>
                </c:pt>
                <c:pt idx="45">
                  <c:v>4.6925566343042071</c:v>
                </c:pt>
                <c:pt idx="46">
                  <c:v>8.8235294117647065</c:v>
                </c:pt>
                <c:pt idx="47">
                  <c:v>1.875</c:v>
                </c:pt>
                <c:pt idx="48">
                  <c:v>6.2977099236641223</c:v>
                </c:pt>
                <c:pt idx="49">
                  <c:v>5.4919908466819223</c:v>
                </c:pt>
                <c:pt idx="50">
                  <c:v>5.6818181818181817</c:v>
                </c:pt>
                <c:pt idx="51">
                  <c:v>4.166666666666667</c:v>
                </c:pt>
                <c:pt idx="52">
                  <c:v>6.557377049180328</c:v>
                </c:pt>
                <c:pt idx="53">
                  <c:v>4.852320675105485</c:v>
                </c:pt>
                <c:pt idx="54">
                  <c:v>5.9352517985611515</c:v>
                </c:pt>
                <c:pt idx="55">
                  <c:v>4.0685224839400425</c:v>
                </c:pt>
                <c:pt idx="56">
                  <c:v>1.948051948051948</c:v>
                </c:pt>
                <c:pt idx="57">
                  <c:v>2.2453889334402568</c:v>
                </c:pt>
                <c:pt idx="58">
                  <c:v>5.4901960784313726</c:v>
                </c:pt>
                <c:pt idx="59">
                  <c:v>3.459119496855346</c:v>
                </c:pt>
                <c:pt idx="60">
                  <c:v>7.908163265306122</c:v>
                </c:pt>
                <c:pt idx="61">
                  <c:v>4.945904173106646</c:v>
                </c:pt>
                <c:pt idx="62">
                  <c:v>5.1020408163265305</c:v>
                </c:pt>
                <c:pt idx="63">
                  <c:v>3.0927835051546393</c:v>
                </c:pt>
                <c:pt idx="64">
                  <c:v>3.7113402061855671</c:v>
                </c:pt>
                <c:pt idx="65">
                  <c:v>3.669724770642202</c:v>
                </c:pt>
                <c:pt idx="66">
                  <c:v>4.2735042735042734</c:v>
                </c:pt>
                <c:pt idx="67">
                  <c:v>6.8720379146919433</c:v>
                </c:pt>
                <c:pt idx="68">
                  <c:v>4.9411764705882355</c:v>
                </c:pt>
                <c:pt idx="69">
                  <c:v>0.94043887147335425</c:v>
                </c:pt>
                <c:pt idx="70">
                  <c:v>2.6845637583892619</c:v>
                </c:pt>
                <c:pt idx="71">
                  <c:v>3.7878787878787881</c:v>
                </c:pt>
                <c:pt idx="72">
                  <c:v>6.3157894736842106</c:v>
                </c:pt>
                <c:pt idx="73">
                  <c:v>1.288244766505636</c:v>
                </c:pt>
                <c:pt idx="74">
                  <c:v>3.6474164133738602</c:v>
                </c:pt>
                <c:pt idx="75">
                  <c:v>3.2448377581120944</c:v>
                </c:pt>
                <c:pt idx="76">
                  <c:v>1.7857142857142858</c:v>
                </c:pt>
                <c:pt idx="77">
                  <c:v>6.4566929133858268</c:v>
                </c:pt>
                <c:pt idx="78">
                  <c:v>3.8880248833592534</c:v>
                </c:pt>
                <c:pt idx="79">
                  <c:v>6.2130177514792901</c:v>
                </c:pt>
                <c:pt idx="80">
                  <c:v>6.7183462532299743</c:v>
                </c:pt>
                <c:pt idx="81">
                  <c:v>5</c:v>
                </c:pt>
                <c:pt idx="82">
                  <c:v>1.0101010101010102</c:v>
                </c:pt>
                <c:pt idx="83">
                  <c:v>4.0118870728083209</c:v>
                </c:pt>
                <c:pt idx="84">
                  <c:v>5.9581320450885666</c:v>
                </c:pt>
                <c:pt idx="85">
                  <c:v>2.8776978417266186</c:v>
                </c:pt>
                <c:pt idx="86">
                  <c:v>4.354838709677419</c:v>
                </c:pt>
                <c:pt idx="87">
                  <c:v>6.4695009242144179</c:v>
                </c:pt>
                <c:pt idx="88">
                  <c:v>1.8518518518518519</c:v>
                </c:pt>
                <c:pt idx="89">
                  <c:v>18.206521739130434</c:v>
                </c:pt>
                <c:pt idx="90">
                  <c:v>5.4200542005420056</c:v>
                </c:pt>
                <c:pt idx="91">
                  <c:v>2.745664739884393</c:v>
                </c:pt>
                <c:pt idx="92">
                  <c:v>4.6242774566473992</c:v>
                </c:pt>
                <c:pt idx="93">
                  <c:v>2.6066350710900474</c:v>
                </c:pt>
                <c:pt idx="94">
                  <c:v>4.9382716049382713</c:v>
                </c:pt>
                <c:pt idx="95">
                  <c:v>4.0094339622641506</c:v>
                </c:pt>
                <c:pt idx="96">
                  <c:v>3.1150667514303878</c:v>
                </c:pt>
                <c:pt idx="97">
                  <c:v>5.9375</c:v>
                </c:pt>
                <c:pt idx="98">
                  <c:v>0.82949308755760365</c:v>
                </c:pt>
                <c:pt idx="99">
                  <c:v>5.615550755939525</c:v>
                </c:pt>
                <c:pt idx="100">
                  <c:v>0</c:v>
                </c:pt>
                <c:pt idx="101">
                  <c:v>4.2553191489361701</c:v>
                </c:pt>
                <c:pt idx="102">
                  <c:v>1.7857142857142858</c:v>
                </c:pt>
                <c:pt idx="103">
                  <c:v>0</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0-8619-4067-AE05-ED606DF4614F}"/>
            </c:ext>
          </c:extLst>
        </c:ser>
        <c:ser>
          <c:idx val="1"/>
          <c:order val="11"/>
          <c:tx>
            <c:strRef>
              <c:f>'Мособлдума партии'!$T$1</c:f>
              <c:strCache>
                <c:ptCount val="1"/>
                <c:pt idx="0">
                  <c:v>Надомка</c:v>
                </c:pt>
              </c:strCache>
            </c:strRef>
          </c:tx>
          <c:spPr>
            <a:noFill/>
            <a:ln w="6350">
              <a:solidFill>
                <a:srgbClr val="000000"/>
              </a:solidFill>
              <a:prstDash val="sysDot"/>
            </a:ln>
          </c:spPr>
          <c:invertIfNegative val="0"/>
          <c:xVal>
            <c:numRef>
              <c:f>'Мособлдума партии'!$N$2:$N$105</c:f>
              <c:numCache>
                <c:formatCode>0.0</c:formatCode>
                <c:ptCount val="104"/>
                <c:pt idx="0">
                  <c:v>39.212827988338191</c:v>
                </c:pt>
                <c:pt idx="1">
                  <c:v>38.041853512705529</c:v>
                </c:pt>
                <c:pt idx="2">
                  <c:v>39.427516158818101</c:v>
                </c:pt>
                <c:pt idx="3">
                  <c:v>39.854111405835546</c:v>
                </c:pt>
                <c:pt idx="4">
                  <c:v>33.264177040110653</c:v>
                </c:pt>
                <c:pt idx="5">
                  <c:v>42.768273716951789</c:v>
                </c:pt>
                <c:pt idx="6">
                  <c:v>43.438914027149323</c:v>
                </c:pt>
                <c:pt idx="7">
                  <c:v>38.564760793465581</c:v>
                </c:pt>
                <c:pt idx="8">
                  <c:v>39.424460431654673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40.329972502291476</c:v>
                </c:pt>
                <c:pt idx="18">
                  <c:v>47.592067988668553</c:v>
                </c:pt>
                <c:pt idx="19">
                  <c:v>42.93333333333333</c:v>
                </c:pt>
                <c:pt idx="20">
                  <c:v>40.27690371302706</c:v>
                </c:pt>
                <c:pt idx="21">
                  <c:v>37.29060451565914</c:v>
                </c:pt>
                <c:pt idx="22">
                  <c:v>40.20669291338583</c:v>
                </c:pt>
                <c:pt idx="23">
                  <c:v>32.906976744186046</c:v>
                </c:pt>
                <c:pt idx="24">
                  <c:v>34.510869565217391</c:v>
                </c:pt>
                <c:pt idx="25">
                  <c:v>46.804775280898873</c:v>
                </c:pt>
                <c:pt idx="26">
                  <c:v>63.3362676056338</c:v>
                </c:pt>
                <c:pt idx="27">
                  <c:v>54.479688369504728</c:v>
                </c:pt>
                <c:pt idx="28">
                  <c:v>51.082504388531305</c:v>
                </c:pt>
                <c:pt idx="29">
                  <c:v>35.150528885272578</c:v>
                </c:pt>
                <c:pt idx="30">
                  <c:v>68.105637379380397</c:v>
                </c:pt>
                <c:pt idx="31">
                  <c:v>40.209790209790206</c:v>
                </c:pt>
                <c:pt idx="32">
                  <c:v>61.368653421633553</c:v>
                </c:pt>
                <c:pt idx="33">
                  <c:v>47.181467181467184</c:v>
                </c:pt>
                <c:pt idx="34">
                  <c:v>34.285714285714285</c:v>
                </c:pt>
                <c:pt idx="35">
                  <c:v>64.976076555023923</c:v>
                </c:pt>
                <c:pt idx="36">
                  <c:v>59.744094488188978</c:v>
                </c:pt>
                <c:pt idx="37">
                  <c:v>53.35144927536232</c:v>
                </c:pt>
                <c:pt idx="38">
                  <c:v>76.283367556468178</c:v>
                </c:pt>
                <c:pt idx="39">
                  <c:v>34.475524475524473</c:v>
                </c:pt>
                <c:pt idx="40">
                  <c:v>42.370370370370374</c:v>
                </c:pt>
                <c:pt idx="41">
                  <c:v>33.010648596321396</c:v>
                </c:pt>
                <c:pt idx="42">
                  <c:v>58.891867739052728</c:v>
                </c:pt>
                <c:pt idx="43">
                  <c:v>37.5</c:v>
                </c:pt>
                <c:pt idx="44">
                  <c:v>29.840142095914743</c:v>
                </c:pt>
                <c:pt idx="45">
                  <c:v>42.738589211618255</c:v>
                </c:pt>
                <c:pt idx="46">
                  <c:v>39.080459770114942</c:v>
                </c:pt>
                <c:pt idx="47">
                  <c:v>35.15379786566227</c:v>
                </c:pt>
                <c:pt idx="48">
                  <c:v>41.819632881085397</c:v>
                </c:pt>
                <c:pt idx="49">
                  <c:v>34.710087370929308</c:v>
                </c:pt>
                <c:pt idx="50">
                  <c:v>35.772357723577237</c:v>
                </c:pt>
                <c:pt idx="51">
                  <c:v>41.860465116279073</c:v>
                </c:pt>
                <c:pt idx="52">
                  <c:v>36.526946107784433</c:v>
                </c:pt>
                <c:pt idx="53">
                  <c:v>30.076142131979694</c:v>
                </c:pt>
                <c:pt idx="54">
                  <c:v>34.674922600619198</c:v>
                </c:pt>
                <c:pt idx="55">
                  <c:v>41.845878136200717</c:v>
                </c:pt>
                <c:pt idx="56">
                  <c:v>55.538382277176716</c:v>
                </c:pt>
                <c:pt idx="57">
                  <c:v>63.075366717248357</c:v>
                </c:pt>
                <c:pt idx="58">
                  <c:v>79.737335834896811</c:v>
                </c:pt>
                <c:pt idx="59">
                  <c:v>24.555984555984555</c:v>
                </c:pt>
                <c:pt idx="60">
                  <c:v>34.782608695652172</c:v>
                </c:pt>
                <c:pt idx="61">
                  <c:v>100</c:v>
                </c:pt>
                <c:pt idx="62">
                  <c:v>34.801136363636367</c:v>
                </c:pt>
                <c:pt idx="63">
                  <c:v>36.672967863894137</c:v>
                </c:pt>
                <c:pt idx="64">
                  <c:v>34.495021337126602</c:v>
                </c:pt>
                <c:pt idx="65">
                  <c:v>40.110395584176636</c:v>
                </c:pt>
                <c:pt idx="66">
                  <c:v>37.320574162679428</c:v>
                </c:pt>
                <c:pt idx="67">
                  <c:v>35.078969243557772</c:v>
                </c:pt>
                <c:pt idx="68">
                  <c:v>33.490937746256897</c:v>
                </c:pt>
                <c:pt idx="69">
                  <c:v>39.702233250620345</c:v>
                </c:pt>
                <c:pt idx="70">
                  <c:v>26.846846846846848</c:v>
                </c:pt>
                <c:pt idx="71">
                  <c:v>32.449680903289149</c:v>
                </c:pt>
                <c:pt idx="72">
                  <c:v>59.467918622848202</c:v>
                </c:pt>
                <c:pt idx="73">
                  <c:v>49.561053471667996</c:v>
                </c:pt>
                <c:pt idx="74">
                  <c:v>51.729559748427675</c:v>
                </c:pt>
                <c:pt idx="75">
                  <c:v>45.687331536388143</c:v>
                </c:pt>
                <c:pt idx="76">
                  <c:v>54.634146341463413</c:v>
                </c:pt>
                <c:pt idx="77">
                  <c:v>54.835924006908463</c:v>
                </c:pt>
                <c:pt idx="78">
                  <c:v>58.507734303912649</c:v>
                </c:pt>
                <c:pt idx="79">
                  <c:v>73.318872017353584</c:v>
                </c:pt>
                <c:pt idx="80">
                  <c:v>53.214774281805745</c:v>
                </c:pt>
                <c:pt idx="81">
                  <c:v>48.265460030165912</c:v>
                </c:pt>
                <c:pt idx="82">
                  <c:v>45.288197621225983</c:v>
                </c:pt>
                <c:pt idx="83">
                  <c:v>32.324687800192123</c:v>
                </c:pt>
                <c:pt idx="84">
                  <c:v>49.090909090909093</c:v>
                </c:pt>
                <c:pt idx="85">
                  <c:v>48.263888888888886</c:v>
                </c:pt>
                <c:pt idx="86">
                  <c:v>51.324503311258276</c:v>
                </c:pt>
                <c:pt idx="87">
                  <c:v>35.529715762273902</c:v>
                </c:pt>
                <c:pt idx="88">
                  <c:v>38.928939237899073</c:v>
                </c:pt>
                <c:pt idx="89">
                  <c:v>32.480141218005294</c:v>
                </c:pt>
                <c:pt idx="90">
                  <c:v>38.501560874089492</c:v>
                </c:pt>
                <c:pt idx="91">
                  <c:v>54.0625</c:v>
                </c:pt>
                <c:pt idx="92">
                  <c:v>39.892390468870097</c:v>
                </c:pt>
                <c:pt idx="93">
                  <c:v>46.120218579234972</c:v>
                </c:pt>
                <c:pt idx="94">
                  <c:v>23.235800344234079</c:v>
                </c:pt>
                <c:pt idx="95">
                  <c:v>36.426116838487971</c:v>
                </c:pt>
                <c:pt idx="96">
                  <c:v>47.011356843992829</c:v>
                </c:pt>
                <c:pt idx="97">
                  <c:v>64.613831398283693</c:v>
                </c:pt>
                <c:pt idx="98">
                  <c:v>55.188199389623598</c:v>
                </c:pt>
                <c:pt idx="99">
                  <c:v>39.53885567890692</c:v>
                </c:pt>
                <c:pt idx="100">
                  <c:v>100</c:v>
                </c:pt>
                <c:pt idx="101">
                  <c:v>80.11363636363636</c:v>
                </c:pt>
                <c:pt idx="102">
                  <c:v>96.551724137931032</c:v>
                </c:pt>
                <c:pt idx="103">
                  <c:v>71.020408163265301</c:v>
                </c:pt>
              </c:numCache>
            </c:numRef>
          </c:xVal>
          <c:yVal>
            <c:numRef>
              <c:f>'Мособлдума партии'!$T$2:$T$105</c:f>
              <c:numCache>
                <c:formatCode>0.0</c:formatCode>
                <c:ptCount val="104"/>
                <c:pt idx="0">
                  <c:v>2.9739776951672861</c:v>
                </c:pt>
                <c:pt idx="1">
                  <c:v>3.9292730844793713</c:v>
                </c:pt>
                <c:pt idx="2">
                  <c:v>1.405152224824356</c:v>
                </c:pt>
                <c:pt idx="3">
                  <c:v>1.6638935108153079</c:v>
                </c:pt>
                <c:pt idx="4">
                  <c:v>0.83160083160083165</c:v>
                </c:pt>
                <c:pt idx="5">
                  <c:v>1.0909090909090908</c:v>
                </c:pt>
                <c:pt idx="6">
                  <c:v>2.9227557411273488</c:v>
                </c:pt>
                <c:pt idx="7">
                  <c:v>4.3872919818456886</c:v>
                </c:pt>
                <c:pt idx="8">
                  <c:v>4.3795620437956204</c:v>
                </c:pt>
                <c:pt idx="9">
                  <c:v>3.6170212765957448</c:v>
                </c:pt>
                <c:pt idx="10">
                  <c:v>2.6132404181184667</c:v>
                </c:pt>
                <c:pt idx="11">
                  <c:v>2.5380710659898478</c:v>
                </c:pt>
                <c:pt idx="12">
                  <c:v>7.4498567335243555</c:v>
                </c:pt>
                <c:pt idx="13">
                  <c:v>1.7045454545454546</c:v>
                </c:pt>
                <c:pt idx="14">
                  <c:v>0.51948051948051943</c:v>
                </c:pt>
                <c:pt idx="15">
                  <c:v>1.7429193899782136</c:v>
                </c:pt>
                <c:pt idx="16">
                  <c:v>8.5574572127139366</c:v>
                </c:pt>
                <c:pt idx="17">
                  <c:v>7.7272727272727275</c:v>
                </c:pt>
                <c:pt idx="18">
                  <c:v>30.357142857142858</c:v>
                </c:pt>
                <c:pt idx="19">
                  <c:v>2.018633540372671</c:v>
                </c:pt>
                <c:pt idx="20">
                  <c:v>0.46875</c:v>
                </c:pt>
                <c:pt idx="21">
                  <c:v>6.640625</c:v>
                </c:pt>
                <c:pt idx="22">
                  <c:v>1.8359853121175032</c:v>
                </c:pt>
                <c:pt idx="23">
                  <c:v>2.8268551236749118</c:v>
                </c:pt>
                <c:pt idx="24">
                  <c:v>3.674540682414698</c:v>
                </c:pt>
                <c:pt idx="25">
                  <c:v>0</c:v>
                </c:pt>
                <c:pt idx="26">
                  <c:v>55.524669909659487</c:v>
                </c:pt>
                <c:pt idx="27">
                  <c:v>57.507660878447396</c:v>
                </c:pt>
                <c:pt idx="28">
                  <c:v>39.289805269186715</c:v>
                </c:pt>
                <c:pt idx="29">
                  <c:v>1.8518518518518519</c:v>
                </c:pt>
                <c:pt idx="30">
                  <c:v>18.642803877703205</c:v>
                </c:pt>
                <c:pt idx="31">
                  <c:v>0.43478260869565216</c:v>
                </c:pt>
                <c:pt idx="32">
                  <c:v>1.4388489208633093</c:v>
                </c:pt>
                <c:pt idx="33">
                  <c:v>9.8199672667757767</c:v>
                </c:pt>
                <c:pt idx="34">
                  <c:v>28.042328042328041</c:v>
                </c:pt>
                <c:pt idx="35">
                  <c:v>13.991163475699558</c:v>
                </c:pt>
                <c:pt idx="36">
                  <c:v>0.98846787479406917</c:v>
                </c:pt>
                <c:pt idx="37">
                  <c:v>2.5466893039049237</c:v>
                </c:pt>
                <c:pt idx="38">
                  <c:v>0.13458950201884254</c:v>
                </c:pt>
                <c:pt idx="39">
                  <c:v>6.6937119675456387</c:v>
                </c:pt>
                <c:pt idx="40">
                  <c:v>1.3986013986013985</c:v>
                </c:pt>
                <c:pt idx="41">
                  <c:v>2.0527859237536656</c:v>
                </c:pt>
                <c:pt idx="42">
                  <c:v>2.7314112291350532</c:v>
                </c:pt>
                <c:pt idx="43">
                  <c:v>1.5151515151515151</c:v>
                </c:pt>
                <c:pt idx="44">
                  <c:v>3.2738095238095237</c:v>
                </c:pt>
                <c:pt idx="45">
                  <c:v>39.644012944983821</c:v>
                </c:pt>
                <c:pt idx="46">
                  <c:v>14.705882352941176</c:v>
                </c:pt>
                <c:pt idx="47">
                  <c:v>0.625</c:v>
                </c:pt>
                <c:pt idx="48">
                  <c:v>6.2977099236641223</c:v>
                </c:pt>
                <c:pt idx="49">
                  <c:v>9.8398169336384438</c:v>
                </c:pt>
                <c:pt idx="50">
                  <c:v>30.681818181818183</c:v>
                </c:pt>
                <c:pt idx="51">
                  <c:v>18.055555555555557</c:v>
                </c:pt>
                <c:pt idx="52">
                  <c:v>13.934426229508198</c:v>
                </c:pt>
                <c:pt idx="53">
                  <c:v>1.8987341772151898</c:v>
                </c:pt>
                <c:pt idx="54">
                  <c:v>2.3381294964028778</c:v>
                </c:pt>
                <c:pt idx="55">
                  <c:v>1.4989293361884368</c:v>
                </c:pt>
                <c:pt idx="56">
                  <c:v>0.2782931354359926</c:v>
                </c:pt>
                <c:pt idx="57">
                  <c:v>0.72173215717722539</c:v>
                </c:pt>
                <c:pt idx="58">
                  <c:v>0.78431372549019607</c:v>
                </c:pt>
                <c:pt idx="59">
                  <c:v>6.6037735849056602</c:v>
                </c:pt>
                <c:pt idx="60">
                  <c:v>16.326530612244898</c:v>
                </c:pt>
                <c:pt idx="61">
                  <c:v>0.61823802163833075</c:v>
                </c:pt>
                <c:pt idx="62">
                  <c:v>2.8571428571428572</c:v>
                </c:pt>
                <c:pt idx="63">
                  <c:v>3.3505154639175259</c:v>
                </c:pt>
                <c:pt idx="64">
                  <c:v>0.82474226804123707</c:v>
                </c:pt>
                <c:pt idx="65">
                  <c:v>0.91743119266055051</c:v>
                </c:pt>
                <c:pt idx="66">
                  <c:v>2.3504273504273505</c:v>
                </c:pt>
                <c:pt idx="67">
                  <c:v>2.3696682464454977</c:v>
                </c:pt>
                <c:pt idx="68">
                  <c:v>1.1764705882352942</c:v>
                </c:pt>
                <c:pt idx="69">
                  <c:v>0.62695924764890287</c:v>
                </c:pt>
                <c:pt idx="70">
                  <c:v>2.6845637583892619</c:v>
                </c:pt>
                <c:pt idx="71">
                  <c:v>9.0909090909090917</c:v>
                </c:pt>
                <c:pt idx="72">
                  <c:v>24.210526315789473</c:v>
                </c:pt>
                <c:pt idx="73">
                  <c:v>2.576489533011272</c:v>
                </c:pt>
                <c:pt idx="74">
                  <c:v>6.6869300911854106</c:v>
                </c:pt>
                <c:pt idx="75">
                  <c:v>45.722713864306783</c:v>
                </c:pt>
                <c:pt idx="76">
                  <c:v>20.68452380952381</c:v>
                </c:pt>
                <c:pt idx="77">
                  <c:v>3.9370078740157481</c:v>
                </c:pt>
                <c:pt idx="78">
                  <c:v>31.259720062208398</c:v>
                </c:pt>
                <c:pt idx="79">
                  <c:v>48.520710059171599</c:v>
                </c:pt>
                <c:pt idx="80">
                  <c:v>15.24547803617571</c:v>
                </c:pt>
                <c:pt idx="81">
                  <c:v>17.5</c:v>
                </c:pt>
                <c:pt idx="82">
                  <c:v>14.545454545454545</c:v>
                </c:pt>
                <c:pt idx="83">
                  <c:v>14.413075780089153</c:v>
                </c:pt>
                <c:pt idx="84">
                  <c:v>7.8904991948470213</c:v>
                </c:pt>
                <c:pt idx="85">
                  <c:v>46.762589928057551</c:v>
                </c:pt>
                <c:pt idx="86">
                  <c:v>27.419354838709676</c:v>
                </c:pt>
                <c:pt idx="87">
                  <c:v>2.2181146025878005</c:v>
                </c:pt>
                <c:pt idx="88">
                  <c:v>2.9100529100529102</c:v>
                </c:pt>
                <c:pt idx="89">
                  <c:v>2.7173913043478262</c:v>
                </c:pt>
                <c:pt idx="90">
                  <c:v>2.9810298102981028</c:v>
                </c:pt>
                <c:pt idx="91">
                  <c:v>0.43352601156069365</c:v>
                </c:pt>
                <c:pt idx="92">
                  <c:v>4.4315992292870909</c:v>
                </c:pt>
                <c:pt idx="93">
                  <c:v>43.838862559241704</c:v>
                </c:pt>
                <c:pt idx="94">
                  <c:v>3.2098765432098766</c:v>
                </c:pt>
                <c:pt idx="95">
                  <c:v>13.443396226415095</c:v>
                </c:pt>
                <c:pt idx="96">
                  <c:v>0</c:v>
                </c:pt>
                <c:pt idx="97">
                  <c:v>1.09375</c:v>
                </c:pt>
                <c:pt idx="98">
                  <c:v>0</c:v>
                </c:pt>
                <c:pt idx="99">
                  <c:v>2.159827213822894</c:v>
                </c:pt>
                <c:pt idx="100">
                  <c:v>0</c:v>
                </c:pt>
                <c:pt idx="101">
                  <c:v>0</c:v>
                </c:pt>
                <c:pt idx="102">
                  <c:v>25.595238095238095</c:v>
                </c:pt>
                <c:pt idx="103">
                  <c:v>0</c:v>
                </c:pt>
              </c:numCache>
            </c:numRef>
          </c:yVal>
          <c:bubbleSize>
            <c:numRef>
              <c:f>'Мособлдума партии'!$I$2:$I$105</c:f>
              <c:numCache>
                <c:formatCode>General</c:formatCode>
                <c:ptCount val="104"/>
                <c:pt idx="0">
                  <c:v>686</c:v>
                </c:pt>
                <c:pt idx="1">
                  <c:v>1338</c:v>
                </c:pt>
                <c:pt idx="2">
                  <c:v>1083</c:v>
                </c:pt>
                <c:pt idx="3">
                  <c:v>1508</c:v>
                </c:pt>
                <c:pt idx="4">
                  <c:v>1446</c:v>
                </c:pt>
                <c:pt idx="5">
                  <c:v>1286</c:v>
                </c:pt>
                <c:pt idx="6">
                  <c:v>1105</c:v>
                </c:pt>
                <c:pt idx="7">
                  <c:v>1714</c:v>
                </c:pt>
                <c:pt idx="8">
                  <c:v>1390</c:v>
                </c:pt>
                <c:pt idx="9">
                  <c:v>1333</c:v>
                </c:pt>
                <c:pt idx="10">
                  <c:v>1430</c:v>
                </c:pt>
                <c:pt idx="11">
                  <c:v>1038</c:v>
                </c:pt>
                <c:pt idx="12">
                  <c:v>959</c:v>
                </c:pt>
                <c:pt idx="13">
                  <c:v>1477</c:v>
                </c:pt>
                <c:pt idx="14">
                  <c:v>1129</c:v>
                </c:pt>
                <c:pt idx="15">
                  <c:v>1431</c:v>
                </c:pt>
                <c:pt idx="16">
                  <c:v>1118</c:v>
                </c:pt>
                <c:pt idx="17">
                  <c:v>1091</c:v>
                </c:pt>
                <c:pt idx="18">
                  <c:v>353</c:v>
                </c:pt>
                <c:pt idx="19">
                  <c:v>1500</c:v>
                </c:pt>
                <c:pt idx="20">
                  <c:v>1589</c:v>
                </c:pt>
                <c:pt idx="21">
                  <c:v>1373</c:v>
                </c:pt>
                <c:pt idx="22">
                  <c:v>2032</c:v>
                </c:pt>
                <c:pt idx="23">
                  <c:v>860</c:v>
                </c:pt>
                <c:pt idx="24">
                  <c:v>1104</c:v>
                </c:pt>
                <c:pt idx="25">
                  <c:v>2848</c:v>
                </c:pt>
                <c:pt idx="26">
                  <c:v>2272</c:v>
                </c:pt>
                <c:pt idx="27">
                  <c:v>1797</c:v>
                </c:pt>
                <c:pt idx="28">
                  <c:v>1709</c:v>
                </c:pt>
                <c:pt idx="29">
                  <c:v>1229</c:v>
                </c:pt>
                <c:pt idx="30">
                  <c:v>1969</c:v>
                </c:pt>
                <c:pt idx="31">
                  <c:v>1144</c:v>
                </c:pt>
                <c:pt idx="32">
                  <c:v>453</c:v>
                </c:pt>
                <c:pt idx="33">
                  <c:v>1295</c:v>
                </c:pt>
                <c:pt idx="34">
                  <c:v>2205</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246</c:v>
                </c:pt>
                <c:pt idx="51">
                  <c:v>172</c:v>
                </c:pt>
                <c:pt idx="52">
                  <c:v>334</c:v>
                </c:pt>
                <c:pt idx="53">
                  <c:v>1576</c:v>
                </c:pt>
                <c:pt idx="54">
                  <c:v>1615</c:v>
                </c:pt>
                <c:pt idx="55">
                  <c:v>1116</c:v>
                </c:pt>
                <c:pt idx="56">
                  <c:v>1941</c:v>
                </c:pt>
                <c:pt idx="57">
                  <c:v>1977</c:v>
                </c:pt>
                <c:pt idx="58">
                  <c:v>1599</c:v>
                </c:pt>
                <c:pt idx="59">
                  <c:v>1295</c:v>
                </c:pt>
                <c:pt idx="60">
                  <c:v>1127</c:v>
                </c:pt>
                <c:pt idx="61">
                  <c:v>647</c:v>
                </c:pt>
                <c:pt idx="62">
                  <c:v>1408</c:v>
                </c:pt>
                <c:pt idx="63">
                  <c:v>1058</c:v>
                </c:pt>
                <c:pt idx="64">
                  <c:v>1406</c:v>
                </c:pt>
                <c:pt idx="65">
                  <c:v>1087</c:v>
                </c:pt>
                <c:pt idx="66">
                  <c:v>1254</c:v>
                </c:pt>
                <c:pt idx="67">
                  <c:v>1203</c:v>
                </c:pt>
                <c:pt idx="68">
                  <c:v>1269</c:v>
                </c:pt>
                <c:pt idx="69">
                  <c:v>806</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1743</c:v>
                </c:pt>
                <c:pt idx="95">
                  <c:v>1164</c:v>
                </c:pt>
                <c:pt idx="96">
                  <c:v>3346</c:v>
                </c:pt>
                <c:pt idx="97">
                  <c:v>1981</c:v>
                </c:pt>
                <c:pt idx="98">
                  <c:v>1966</c:v>
                </c:pt>
                <c:pt idx="99">
                  <c:v>1171</c:v>
                </c:pt>
                <c:pt idx="100">
                  <c:v>205</c:v>
                </c:pt>
                <c:pt idx="101">
                  <c:v>176</c:v>
                </c:pt>
                <c:pt idx="102">
                  <c:v>174</c:v>
                </c:pt>
                <c:pt idx="103">
                  <c:v>245</c:v>
                </c:pt>
              </c:numCache>
            </c:numRef>
          </c:bubbleSize>
          <c:bubble3D val="0"/>
          <c:extLst>
            <c:ext xmlns:c16="http://schemas.microsoft.com/office/drawing/2014/chart" uri="{C3380CC4-5D6E-409C-BE32-E72D297353CC}">
              <c16:uniqueId val="{00000001-8619-4067-AE05-ED606DF4614F}"/>
            </c:ext>
          </c:extLst>
        </c:ser>
        <c:ser>
          <c:idx val="2"/>
          <c:order val="12"/>
          <c:tx>
            <c:strRef>
              <c:f>'Мособлдума партии'!$AA$123</c:f>
              <c:strCache>
                <c:ptCount val="1"/>
                <c:pt idx="0">
                  <c:v>Вручную задано: ЕР без фальсификаций (%)</c:v>
                </c:pt>
              </c:strCache>
            </c:strRef>
          </c:tx>
          <c:spPr>
            <a:ln w="25400">
              <a:noFill/>
            </a:ln>
          </c:spPr>
          <c:invertIfNegative val="0"/>
          <c:errBars>
            <c:errDir val="x"/>
            <c:errBarType val="minus"/>
            <c:errValType val="percentage"/>
            <c:noEndCap val="1"/>
            <c:val val="100"/>
            <c:spPr>
              <a:ln>
                <a:solidFill>
                  <a:srgbClr val="0000FF">
                    <a:alpha val="50000"/>
                  </a:srgbClr>
                </a:solidFill>
              </a:ln>
            </c:spPr>
          </c:errBars>
          <c:xVal>
            <c:numLit>
              <c:formatCode>General</c:formatCode>
              <c:ptCount val="1"/>
              <c:pt idx="0">
                <c:v>100</c:v>
              </c:pt>
            </c:numLit>
          </c:xVal>
          <c:yVal>
            <c:numRef>
              <c:f>'Мособлдума партии'!$AA$124</c:f>
              <c:numCache>
                <c:formatCode>0.0</c:formatCode>
                <c:ptCount val="1"/>
                <c:pt idx="0">
                  <c:v>34</c:v>
                </c:pt>
              </c:numCache>
            </c:numRef>
          </c:yVal>
          <c:bubbleSize>
            <c:numLit>
              <c:formatCode>General</c:formatCode>
              <c:ptCount val="10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numLit>
          </c:bubbleSize>
          <c:bubble3D val="0"/>
          <c:extLst>
            <c:ext xmlns:c16="http://schemas.microsoft.com/office/drawing/2014/chart" uri="{C3380CC4-5D6E-409C-BE32-E72D297353CC}">
              <c16:uniqueId val="{00000000-EDB8-40E9-AB88-1CE990C35062}"/>
            </c:ext>
          </c:extLst>
        </c:ser>
        <c:ser>
          <c:idx val="3"/>
          <c:order val="13"/>
          <c:tx>
            <c:strRef>
              <c:f>'Мособлдума партии'!$AA$142</c:f>
              <c:strCache>
                <c:ptCount val="1"/>
                <c:pt idx="0">
                  <c:v>Макс. размер кружка</c:v>
                </c:pt>
              </c:strCache>
            </c:strRef>
          </c:tx>
          <c:spPr>
            <a:solidFill>
              <a:srgbClr val="000000">
                <a:alpha val="50000"/>
              </a:srgbClr>
            </a:solidFill>
            <a:ln w="25400">
              <a:noFill/>
            </a:ln>
          </c:spPr>
          <c:invertIfNegative val="0"/>
          <c:xVal>
            <c:numLit>
              <c:formatCode>General</c:formatCode>
              <c:ptCount val="1"/>
              <c:pt idx="0">
                <c:v>-10</c:v>
              </c:pt>
            </c:numLit>
          </c:xVal>
          <c:yVal>
            <c:numLit>
              <c:formatCode>General</c:formatCode>
              <c:ptCount val="1"/>
              <c:pt idx="0">
                <c:v>-10</c:v>
              </c:pt>
            </c:numLit>
          </c:yVal>
          <c:bubbleSize>
            <c:numRef>
              <c:f>'Мособлдума партии'!$AA$143</c:f>
              <c:numCache>
                <c:formatCode>General</c:formatCode>
                <c:ptCount val="1"/>
                <c:pt idx="0">
                  <c:v>3346</c:v>
                </c:pt>
              </c:numCache>
            </c:numRef>
          </c:bubbleSize>
          <c:bubble3D val="0"/>
          <c:extLst>
            <c:ext xmlns:c16="http://schemas.microsoft.com/office/drawing/2014/chart" uri="{C3380CC4-5D6E-409C-BE32-E72D297353CC}">
              <c16:uniqueId val="{00000000-86EA-4981-BE9B-A11AAAF18397}"/>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39235860409146"/>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4.0962996389891697E-2"/>
          <c:y val="0.11734371345029242"/>
          <c:w val="0.16644885679903731"/>
          <c:h val="0.3959422514619883"/>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'Дума одномандатный'!$AA$1</c:f>
              <c:strCache>
                <c:ptCount val="1"/>
                <c:pt idx="0">
                  <c:v>Дуленков (Яблоко)</c:v>
                </c:pt>
              </c:strCache>
            </c:strRef>
          </c:tx>
          <c:spPr>
            <a:solidFill>
              <a:srgbClr val="FF00FF">
                <a:alpha val="50196"/>
              </a:srgbClr>
            </a:solidFill>
            <a:ln w="25400">
              <a:noFill/>
            </a:ln>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одномандатный'!$AA$2:$AA$105</c:f>
              <c:numCache>
                <c:formatCode>0.0</c:formatCode>
                <c:ptCount val="104"/>
                <c:pt idx="0">
                  <c:v>2.1428571428571428</c:v>
                </c:pt>
                <c:pt idx="1">
                  <c:v>3.2075471698113209</c:v>
                </c:pt>
                <c:pt idx="2">
                  <c:v>2.5345622119815667</c:v>
                </c:pt>
                <c:pt idx="3">
                  <c:v>3.9024390243902438</c:v>
                </c:pt>
                <c:pt idx="4">
                  <c:v>3.2388663967611335</c:v>
                </c:pt>
                <c:pt idx="5">
                  <c:v>3.4234234234234235</c:v>
                </c:pt>
                <c:pt idx="6">
                  <c:v>3.75</c:v>
                </c:pt>
                <c:pt idx="7">
                  <c:v>3.4934497816593888</c:v>
                </c:pt>
                <c:pt idx="8">
                  <c:v>2.7372262773722627</c:v>
                </c:pt>
                <c:pt idx="9">
                  <c:v>0.83507306889352817</c:v>
                </c:pt>
                <c:pt idx="10">
                  <c:v>2.7777777777777777</c:v>
                </c:pt>
                <c:pt idx="11">
                  <c:v>3.2581453634085213</c:v>
                </c:pt>
                <c:pt idx="12">
                  <c:v>3.9548022598870056</c:v>
                </c:pt>
                <c:pt idx="13">
                  <c:v>3.8532110091743119</c:v>
                </c:pt>
                <c:pt idx="14">
                  <c:v>3.7037037037037037</c:v>
                </c:pt>
                <c:pt idx="15">
                  <c:v>3.4261241970021414</c:v>
                </c:pt>
                <c:pt idx="16">
                  <c:v>4.5893719806763285</c:v>
                </c:pt>
                <c:pt idx="17">
                  <c:v>2.7504911591355601</c:v>
                </c:pt>
                <c:pt idx="18">
                  <c:v>1.7857142857142858</c:v>
                </c:pt>
                <c:pt idx="19">
                  <c:v>5.1004636785162285</c:v>
                </c:pt>
                <c:pt idx="20">
                  <c:v>4.6296296296296298</c:v>
                </c:pt>
                <c:pt idx="21">
                  <c:v>2.1194605009633913</c:v>
                </c:pt>
                <c:pt idx="22">
                  <c:v>0</c:v>
                </c:pt>
                <c:pt idx="23">
                  <c:v>2.4734982332155475</c:v>
                </c:pt>
                <c:pt idx="24">
                  <c:v>4.0712468193384224</c:v>
                </c:pt>
                <c:pt idx="25">
                  <c:v>4.0940106141015917</c:v>
                </c:pt>
                <c:pt idx="26">
                  <c:v>1.6050244242847174</c:v>
                </c:pt>
                <c:pt idx="27">
                  <c:v>3.2753326509723646</c:v>
                </c:pt>
                <c:pt idx="28">
                  <c:v>2.6519337016574585</c:v>
                </c:pt>
                <c:pt idx="29">
                  <c:v>1.8518518518518519</c:v>
                </c:pt>
                <c:pt idx="30">
                  <c:v>4.700854700854701</c:v>
                </c:pt>
                <c:pt idx="31">
                  <c:v>1.9607843137254901</c:v>
                </c:pt>
                <c:pt idx="32">
                  <c:v>2.5454545454545454</c:v>
                </c:pt>
                <c:pt idx="33">
                  <c:v>3.3386327503974562</c:v>
                </c:pt>
                <c:pt idx="34">
                  <c:v>3.9164490861618799</c:v>
                </c:pt>
                <c:pt idx="35">
                  <c:v>2.7696793002915454</c:v>
                </c:pt>
                <c:pt idx="36">
                  <c:v>2.0134228187919465</c:v>
                </c:pt>
                <c:pt idx="37">
                  <c:v>1.9834710743801653</c:v>
                </c:pt>
                <c:pt idx="38">
                  <c:v>1.0680907877169559</c:v>
                </c:pt>
                <c:pt idx="39">
                  <c:v>3.258655804480652</c:v>
                </c:pt>
                <c:pt idx="40">
                  <c:v>3.90625</c:v>
                </c:pt>
                <c:pt idx="41">
                  <c:v>2.9239766081871346</c:v>
                </c:pt>
                <c:pt idx="42">
                  <c:v>2.7190332326283988</c:v>
                </c:pt>
                <c:pt idx="43">
                  <c:v>2.8315946348733232</c:v>
                </c:pt>
                <c:pt idx="44">
                  <c:v>4.6255506607929515</c:v>
                </c:pt>
                <c:pt idx="45">
                  <c:v>2.6771653543307088</c:v>
                </c:pt>
                <c:pt idx="46">
                  <c:v>6.0851926977687629</c:v>
                </c:pt>
                <c:pt idx="47">
                  <c:v>3.5492457852706298</c:v>
                </c:pt>
                <c:pt idx="48">
                  <c:v>1.890359168241966</c:v>
                </c:pt>
                <c:pt idx="49">
                  <c:v>2.522935779816514</c:v>
                </c:pt>
                <c:pt idx="50">
                  <c:v>1.075268817204301</c:v>
                </c:pt>
                <c:pt idx="51">
                  <c:v>1.2658227848101267</c:v>
                </c:pt>
                <c:pt idx="52">
                  <c:v>2.459016393442623</c:v>
                </c:pt>
                <c:pt idx="53">
                  <c:v>2.2267206477732793</c:v>
                </c:pt>
                <c:pt idx="54">
                  <c:v>2.1582733812949639</c:v>
                </c:pt>
                <c:pt idx="55">
                  <c:v>2.8725314183123878</c:v>
                </c:pt>
                <c:pt idx="56">
                  <c:v>4.8957388939256576</c:v>
                </c:pt>
                <c:pt idx="57">
                  <c:v>7.4468085106382977</c:v>
                </c:pt>
                <c:pt idx="58">
                  <c:v>4.263275991024682</c:v>
                </c:pt>
                <c:pt idx="59">
                  <c:v>4.301075268817204</c:v>
                </c:pt>
                <c:pt idx="60">
                  <c:v>3.3333333333333335</c:v>
                </c:pt>
                <c:pt idx="61">
                  <c:v>1.8264840182648401</c:v>
                </c:pt>
                <c:pt idx="62">
                  <c:v>4.9504950495049505</c:v>
                </c:pt>
                <c:pt idx="63">
                  <c:v>3.3333333333333335</c:v>
                </c:pt>
                <c:pt idx="64">
                  <c:v>4.6464646464646462</c:v>
                </c:pt>
                <c:pt idx="65">
                  <c:v>3.8901601830663615</c:v>
                </c:pt>
                <c:pt idx="66">
                  <c:v>7.8723404255319149</c:v>
                </c:pt>
                <c:pt idx="67">
                  <c:v>4.2857142857142856</c:v>
                </c:pt>
                <c:pt idx="68">
                  <c:v>4.1570438799076213</c:v>
                </c:pt>
                <c:pt idx="69">
                  <c:v>3.4482758620689653</c:v>
                </c:pt>
                <c:pt idx="70">
                  <c:v>4.666666666666667</c:v>
                </c:pt>
                <c:pt idx="71">
                  <c:v>4.7482014388489207</c:v>
                </c:pt>
                <c:pt idx="72">
                  <c:v>0.96618357487922701</c:v>
                </c:pt>
                <c:pt idx="73">
                  <c:v>2.8616852146263909</c:v>
                </c:pt>
                <c:pt idx="74">
                  <c:v>2.1244309559939301</c:v>
                </c:pt>
                <c:pt idx="75">
                  <c:v>1.1267605633802817</c:v>
                </c:pt>
                <c:pt idx="76">
                  <c:v>3.1531531531531534</c:v>
                </c:pt>
                <c:pt idx="77">
                  <c:v>4.301075268817204</c:v>
                </c:pt>
                <c:pt idx="78">
                  <c:v>2.7993779160186625</c:v>
                </c:pt>
                <c:pt idx="79">
                  <c:v>2.0467836257309941</c:v>
                </c:pt>
                <c:pt idx="80">
                  <c:v>2.8277634961439588</c:v>
                </c:pt>
                <c:pt idx="81">
                  <c:v>3.0120481927710845</c:v>
                </c:pt>
                <c:pt idx="82">
                  <c:v>2.1400778210116731</c:v>
                </c:pt>
                <c:pt idx="83">
                  <c:v>4.1847041847041844</c:v>
                </c:pt>
                <c:pt idx="84">
                  <c:v>2.5682182985553772</c:v>
                </c:pt>
                <c:pt idx="85">
                  <c:v>3.9007092198581561</c:v>
                </c:pt>
                <c:pt idx="86">
                  <c:v>4.6178343949044587</c:v>
                </c:pt>
                <c:pt idx="87">
                  <c:v>4.2435424354243541</c:v>
                </c:pt>
                <c:pt idx="88">
                  <c:v>2.8571428571428572</c:v>
                </c:pt>
                <c:pt idx="89">
                  <c:v>3.763440860215054</c:v>
                </c:pt>
                <c:pt idx="90">
                  <c:v>4.032258064516129</c:v>
                </c:pt>
                <c:pt idx="91">
                  <c:v>2.275960170697013</c:v>
                </c:pt>
                <c:pt idx="92">
                  <c:v>2.9069767441860463</c:v>
                </c:pt>
                <c:pt idx="93">
                  <c:v>2.1327014218009479</c:v>
                </c:pt>
                <c:pt idx="94">
                  <c:v>4.9751243781094523</c:v>
                </c:pt>
                <c:pt idx="95">
                  <c:v>2.3201856148491879</c:v>
                </c:pt>
                <c:pt idx="96">
                  <c:v>5.6965944272445821</c:v>
                </c:pt>
                <c:pt idx="97">
                  <c:v>4.5950155763239877</c:v>
                </c:pt>
                <c:pt idx="98">
                  <c:v>1.4731369150779896</c:v>
                </c:pt>
                <c:pt idx="99">
                  <c:v>4.2553191489361701</c:v>
                </c:pt>
                <c:pt idx="100">
                  <c:v>9.7560975609756095</c:v>
                </c:pt>
                <c:pt idx="101">
                  <c:v>2.2857142857142856</c:v>
                </c:pt>
                <c:pt idx="102">
                  <c:v>3.6809815950920246</c:v>
                </c:pt>
                <c:pt idx="103">
                  <c:v>3.7735849056603774</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0-1915-4D2F-A61C-DFA9673AF133}"/>
            </c:ext>
          </c:extLst>
        </c:ser>
        <c:ser>
          <c:idx val="9"/>
          <c:order val="1"/>
          <c:tx>
            <c:strRef>
              <c:f>'Дума одномандатный'!$AC$1</c:f>
              <c:strCache>
                <c:ptCount val="1"/>
                <c:pt idx="0">
                  <c:v>Калимуллин (Новые люди)</c:v>
                </c:pt>
              </c:strCache>
            </c:strRef>
          </c:tx>
          <c:spPr>
            <a:solidFill>
              <a:srgbClr val="00FFFF">
                <a:alpha val="50196"/>
              </a:srgbClr>
            </a:solidFill>
            <a:ln w="25400"/>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одномандатный'!$AC$2:$AC$105</c:f>
              <c:numCache>
                <c:formatCode>0.0</c:formatCode>
                <c:ptCount val="104"/>
                <c:pt idx="0">
                  <c:v>1.4285714285714286</c:v>
                </c:pt>
                <c:pt idx="1">
                  <c:v>4.1509433962264151</c:v>
                </c:pt>
                <c:pt idx="2">
                  <c:v>4.6082949308755756</c:v>
                </c:pt>
                <c:pt idx="3">
                  <c:v>5.691056910569106</c:v>
                </c:pt>
                <c:pt idx="4">
                  <c:v>5.8704453441295543</c:v>
                </c:pt>
                <c:pt idx="5">
                  <c:v>6.1261261261261257</c:v>
                </c:pt>
                <c:pt idx="6">
                  <c:v>7.916666666666667</c:v>
                </c:pt>
                <c:pt idx="7">
                  <c:v>6.8413391557496359</c:v>
                </c:pt>
                <c:pt idx="8">
                  <c:v>3.832116788321168</c:v>
                </c:pt>
                <c:pt idx="9">
                  <c:v>5.010438413361169</c:v>
                </c:pt>
                <c:pt idx="10">
                  <c:v>5.3819444444444446</c:v>
                </c:pt>
                <c:pt idx="11">
                  <c:v>6.2656641604010028</c:v>
                </c:pt>
                <c:pt idx="12">
                  <c:v>5.3672316384180787</c:v>
                </c:pt>
                <c:pt idx="13">
                  <c:v>5.5045871559633026</c:v>
                </c:pt>
                <c:pt idx="14">
                  <c:v>5.4320987654320989</c:v>
                </c:pt>
                <c:pt idx="15">
                  <c:v>4.0685224839400425</c:v>
                </c:pt>
                <c:pt idx="16">
                  <c:v>6.5217391304347823</c:v>
                </c:pt>
                <c:pt idx="17">
                  <c:v>7.0726915520628681</c:v>
                </c:pt>
                <c:pt idx="18">
                  <c:v>4.166666666666667</c:v>
                </c:pt>
                <c:pt idx="19">
                  <c:v>6.0278207109737245</c:v>
                </c:pt>
                <c:pt idx="20">
                  <c:v>6.0185185185185182</c:v>
                </c:pt>
                <c:pt idx="21">
                  <c:v>5.0096339113680157</c:v>
                </c:pt>
                <c:pt idx="22">
                  <c:v>0</c:v>
                </c:pt>
                <c:pt idx="23">
                  <c:v>3.1802120141342756</c:v>
                </c:pt>
                <c:pt idx="24">
                  <c:v>5.0890585241730282</c:v>
                </c:pt>
                <c:pt idx="25">
                  <c:v>7.202426080363912</c:v>
                </c:pt>
                <c:pt idx="26">
                  <c:v>3.0704815073272855</c:v>
                </c:pt>
                <c:pt idx="27">
                  <c:v>4.8106448311156598</c:v>
                </c:pt>
                <c:pt idx="28">
                  <c:v>5.0828729281767959</c:v>
                </c:pt>
                <c:pt idx="29">
                  <c:v>5.0925925925925926</c:v>
                </c:pt>
                <c:pt idx="30">
                  <c:v>5.5555555555555554</c:v>
                </c:pt>
                <c:pt idx="31">
                  <c:v>7.8431372549019605</c:v>
                </c:pt>
                <c:pt idx="32">
                  <c:v>2.5454545454545454</c:v>
                </c:pt>
                <c:pt idx="33">
                  <c:v>4.4515103338632747</c:v>
                </c:pt>
                <c:pt idx="34">
                  <c:v>3.524804177545692</c:v>
                </c:pt>
                <c:pt idx="35">
                  <c:v>3.2069970845481048</c:v>
                </c:pt>
                <c:pt idx="36">
                  <c:v>4.3624161073825505</c:v>
                </c:pt>
                <c:pt idx="37">
                  <c:v>2.4793388429752068</c:v>
                </c:pt>
                <c:pt idx="38">
                  <c:v>2.0026702269692924</c:v>
                </c:pt>
                <c:pt idx="39">
                  <c:v>3.258655804480652</c:v>
                </c:pt>
                <c:pt idx="40">
                  <c:v>5.1339285714285712</c:v>
                </c:pt>
                <c:pt idx="41">
                  <c:v>3.5087719298245612</c:v>
                </c:pt>
                <c:pt idx="42">
                  <c:v>1.9637462235649548</c:v>
                </c:pt>
                <c:pt idx="43">
                  <c:v>3.427719821162444</c:v>
                </c:pt>
                <c:pt idx="44">
                  <c:v>6.607929515418502</c:v>
                </c:pt>
                <c:pt idx="45">
                  <c:v>4.2519685039370083</c:v>
                </c:pt>
                <c:pt idx="46">
                  <c:v>5.4766734279918863</c:v>
                </c:pt>
                <c:pt idx="47">
                  <c:v>5.0576752440106478</c:v>
                </c:pt>
                <c:pt idx="48">
                  <c:v>4.1587901701323249</c:v>
                </c:pt>
                <c:pt idx="49">
                  <c:v>7.3394495412844041</c:v>
                </c:pt>
                <c:pt idx="50">
                  <c:v>1.075268817204301</c:v>
                </c:pt>
                <c:pt idx="51">
                  <c:v>2.5316455696202533</c:v>
                </c:pt>
                <c:pt idx="52">
                  <c:v>4.0983606557377046</c:v>
                </c:pt>
                <c:pt idx="53">
                  <c:v>6.4777327935222671</c:v>
                </c:pt>
                <c:pt idx="54">
                  <c:v>4.4964028776978413</c:v>
                </c:pt>
                <c:pt idx="55">
                  <c:v>6.1041292639138245</c:v>
                </c:pt>
                <c:pt idx="56">
                  <c:v>4.9864007252946507</c:v>
                </c:pt>
                <c:pt idx="57">
                  <c:v>6.0283687943262407</c:v>
                </c:pt>
                <c:pt idx="58">
                  <c:v>4.7120418848167542</c:v>
                </c:pt>
                <c:pt idx="59">
                  <c:v>2.5806451612903225</c:v>
                </c:pt>
                <c:pt idx="60">
                  <c:v>8.9743589743589745</c:v>
                </c:pt>
                <c:pt idx="61">
                  <c:v>3.3485540334855401</c:v>
                </c:pt>
                <c:pt idx="62">
                  <c:v>5.3465346534653468</c:v>
                </c:pt>
                <c:pt idx="63">
                  <c:v>7.4358974358974361</c:v>
                </c:pt>
                <c:pt idx="64">
                  <c:v>5.858585858585859</c:v>
                </c:pt>
                <c:pt idx="65">
                  <c:v>6.1784897025171626</c:v>
                </c:pt>
                <c:pt idx="66">
                  <c:v>6.3829787234042552</c:v>
                </c:pt>
                <c:pt idx="67">
                  <c:v>7.3809523809523814</c:v>
                </c:pt>
                <c:pt idx="68">
                  <c:v>3.695150115473441</c:v>
                </c:pt>
                <c:pt idx="69">
                  <c:v>7.523510971786834</c:v>
                </c:pt>
                <c:pt idx="70">
                  <c:v>8</c:v>
                </c:pt>
                <c:pt idx="71">
                  <c:v>5.0359712230215825</c:v>
                </c:pt>
                <c:pt idx="72">
                  <c:v>2.6570048309178742</c:v>
                </c:pt>
                <c:pt idx="73">
                  <c:v>4.7694753577106521</c:v>
                </c:pt>
                <c:pt idx="74">
                  <c:v>3.793626707132018</c:v>
                </c:pt>
                <c:pt idx="75">
                  <c:v>0.84507042253521125</c:v>
                </c:pt>
                <c:pt idx="76">
                  <c:v>3.6036036036036037</c:v>
                </c:pt>
                <c:pt idx="77">
                  <c:v>5.2227342549923197</c:v>
                </c:pt>
                <c:pt idx="78">
                  <c:v>4.0435458786936236</c:v>
                </c:pt>
                <c:pt idx="79">
                  <c:v>2.6315789473684212</c:v>
                </c:pt>
                <c:pt idx="80">
                  <c:v>2.8277634961439588</c:v>
                </c:pt>
                <c:pt idx="81">
                  <c:v>4.8192771084337354</c:v>
                </c:pt>
                <c:pt idx="82">
                  <c:v>4.0856031128404666</c:v>
                </c:pt>
                <c:pt idx="83">
                  <c:v>7.0707070707070709</c:v>
                </c:pt>
                <c:pt idx="84">
                  <c:v>5.1364365971107544</c:v>
                </c:pt>
                <c:pt idx="85">
                  <c:v>3.1914893617021276</c:v>
                </c:pt>
                <c:pt idx="86">
                  <c:v>6.6878980891719744</c:v>
                </c:pt>
                <c:pt idx="87">
                  <c:v>4.2435424354243541</c:v>
                </c:pt>
                <c:pt idx="88">
                  <c:v>7.2727272727272725</c:v>
                </c:pt>
                <c:pt idx="89">
                  <c:v>6.4516129032258061</c:v>
                </c:pt>
                <c:pt idx="90">
                  <c:v>5.10752688172043</c:v>
                </c:pt>
                <c:pt idx="91">
                  <c:v>2.5604551920341394</c:v>
                </c:pt>
                <c:pt idx="92">
                  <c:v>5.6201550387596901</c:v>
                </c:pt>
                <c:pt idx="93">
                  <c:v>3.080568720379147</c:v>
                </c:pt>
                <c:pt idx="94">
                  <c:v>7.9601990049751246</c:v>
                </c:pt>
                <c:pt idx="95">
                  <c:v>4.4083526682134568</c:v>
                </c:pt>
                <c:pt idx="96">
                  <c:v>6.5015479876160986</c:v>
                </c:pt>
                <c:pt idx="97">
                  <c:v>6.0747663551401869</c:v>
                </c:pt>
                <c:pt idx="98">
                  <c:v>1.9064124783362217</c:v>
                </c:pt>
                <c:pt idx="99">
                  <c:v>5.7446808510638299</c:v>
                </c:pt>
                <c:pt idx="100">
                  <c:v>2.4390243902439024</c:v>
                </c:pt>
                <c:pt idx="101">
                  <c:v>1.7142857142857142</c:v>
                </c:pt>
                <c:pt idx="102">
                  <c:v>4.294478527607362</c:v>
                </c:pt>
                <c:pt idx="103">
                  <c:v>5.0314465408805029</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1-1915-4D2F-A61C-DFA9673AF133}"/>
            </c:ext>
          </c:extLst>
        </c:ser>
        <c:ser>
          <c:idx val="10"/>
          <c:order val="2"/>
          <c:tx>
            <c:strRef>
              <c:f>'Дума одномандатный'!$AE$1</c:f>
              <c:strCache>
                <c:ptCount val="1"/>
                <c:pt idx="0">
                  <c:v>Кумохин (СР)</c:v>
                </c:pt>
              </c:strCache>
            </c:strRef>
          </c:tx>
          <c:spPr>
            <a:solidFill>
              <a:srgbClr val="9999FF">
                <a:alpha val="50196"/>
              </a:srgbClr>
            </a:solidFill>
            <a:ln w="25400">
              <a:noFill/>
            </a:ln>
            <a:effectLst/>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одномандатный'!$AE$2:$AE$105</c:f>
              <c:numCache>
                <c:formatCode>0.0</c:formatCode>
                <c:ptCount val="104"/>
                <c:pt idx="0">
                  <c:v>7.8571428571428568</c:v>
                </c:pt>
                <c:pt idx="1">
                  <c:v>8.8679245283018862</c:v>
                </c:pt>
                <c:pt idx="2">
                  <c:v>6.2211981566820276</c:v>
                </c:pt>
                <c:pt idx="3">
                  <c:v>7.3170731707317076</c:v>
                </c:pt>
                <c:pt idx="4">
                  <c:v>8.9068825910931171</c:v>
                </c:pt>
                <c:pt idx="5">
                  <c:v>5.2252252252252251</c:v>
                </c:pt>
                <c:pt idx="6">
                  <c:v>6.041666666666667</c:v>
                </c:pt>
                <c:pt idx="7">
                  <c:v>5.9679767103347894</c:v>
                </c:pt>
                <c:pt idx="8">
                  <c:v>7.8467153284671536</c:v>
                </c:pt>
                <c:pt idx="9">
                  <c:v>4.8016701461377869</c:v>
                </c:pt>
                <c:pt idx="10">
                  <c:v>6.5972222222222223</c:v>
                </c:pt>
                <c:pt idx="11">
                  <c:v>5.2631578947368425</c:v>
                </c:pt>
                <c:pt idx="12">
                  <c:v>5.0847457627118642</c:v>
                </c:pt>
                <c:pt idx="13">
                  <c:v>6.6055045871559637</c:v>
                </c:pt>
                <c:pt idx="14">
                  <c:v>7.1604938271604937</c:v>
                </c:pt>
                <c:pt idx="15">
                  <c:v>8.7794432548179877</c:v>
                </c:pt>
                <c:pt idx="16">
                  <c:v>10.628019323671497</c:v>
                </c:pt>
                <c:pt idx="17">
                  <c:v>6.8762278978389002</c:v>
                </c:pt>
                <c:pt idx="18">
                  <c:v>2.9761904761904763</c:v>
                </c:pt>
                <c:pt idx="19">
                  <c:v>6.1823802163833079</c:v>
                </c:pt>
                <c:pt idx="20">
                  <c:v>6.7901234567901234</c:v>
                </c:pt>
                <c:pt idx="21">
                  <c:v>6.5510597302504818</c:v>
                </c:pt>
                <c:pt idx="22">
                  <c:v>0</c:v>
                </c:pt>
                <c:pt idx="23">
                  <c:v>0</c:v>
                </c:pt>
                <c:pt idx="24">
                  <c:v>5.5979643765903306</c:v>
                </c:pt>
                <c:pt idx="25">
                  <c:v>5.3070507960576192</c:v>
                </c:pt>
                <c:pt idx="26">
                  <c:v>3.2100488485694347</c:v>
                </c:pt>
                <c:pt idx="27">
                  <c:v>5.4247697031729789</c:v>
                </c:pt>
                <c:pt idx="28">
                  <c:v>5.5248618784530388</c:v>
                </c:pt>
                <c:pt idx="29">
                  <c:v>6.9444444444444446</c:v>
                </c:pt>
                <c:pt idx="30">
                  <c:v>4.5584045584045585</c:v>
                </c:pt>
                <c:pt idx="31">
                  <c:v>5.882352941176471</c:v>
                </c:pt>
                <c:pt idx="32">
                  <c:v>5.0909090909090908</c:v>
                </c:pt>
                <c:pt idx="33">
                  <c:v>4.4515103338632747</c:v>
                </c:pt>
                <c:pt idx="34">
                  <c:v>7.0496083550913839</c:v>
                </c:pt>
                <c:pt idx="35">
                  <c:v>3.2069970845481048</c:v>
                </c:pt>
                <c:pt idx="36">
                  <c:v>4.5302013422818792</c:v>
                </c:pt>
                <c:pt idx="37">
                  <c:v>3.3057851239669422</c:v>
                </c:pt>
                <c:pt idx="38">
                  <c:v>3.2042723631508676</c:v>
                </c:pt>
                <c:pt idx="39">
                  <c:v>5.2953156822810588</c:v>
                </c:pt>
                <c:pt idx="40">
                  <c:v>4.3526785714285712</c:v>
                </c:pt>
                <c:pt idx="41">
                  <c:v>9.3567251461988299</c:v>
                </c:pt>
                <c:pt idx="42">
                  <c:v>3.3232628398791539</c:v>
                </c:pt>
                <c:pt idx="43">
                  <c:v>6.1102831594634877</c:v>
                </c:pt>
                <c:pt idx="44">
                  <c:v>5.7268722466960353</c:v>
                </c:pt>
                <c:pt idx="45">
                  <c:v>5.3543307086614176</c:v>
                </c:pt>
                <c:pt idx="46">
                  <c:v>7.5050709939148073</c:v>
                </c:pt>
                <c:pt idx="47">
                  <c:v>4.9689440993788816</c:v>
                </c:pt>
                <c:pt idx="48">
                  <c:v>6.2381852551984878</c:v>
                </c:pt>
                <c:pt idx="49">
                  <c:v>8.4862385321100913</c:v>
                </c:pt>
                <c:pt idx="50">
                  <c:v>5.376344086021505</c:v>
                </c:pt>
                <c:pt idx="51">
                  <c:v>6.3291139240506329</c:v>
                </c:pt>
                <c:pt idx="52">
                  <c:v>7.3770491803278686</c:v>
                </c:pt>
                <c:pt idx="53">
                  <c:v>6.4777327935222671</c:v>
                </c:pt>
                <c:pt idx="54">
                  <c:v>6.8345323741007196</c:v>
                </c:pt>
                <c:pt idx="55">
                  <c:v>6.8222621184919214</c:v>
                </c:pt>
                <c:pt idx="56">
                  <c:v>4.9864007252946507</c:v>
                </c:pt>
                <c:pt idx="57">
                  <c:v>5.8865248226950353</c:v>
                </c:pt>
                <c:pt idx="58">
                  <c:v>4.4128646222887058</c:v>
                </c:pt>
                <c:pt idx="59">
                  <c:v>9.0322580645161299</c:v>
                </c:pt>
                <c:pt idx="60">
                  <c:v>5.8974358974358978</c:v>
                </c:pt>
                <c:pt idx="61">
                  <c:v>3.9573820395738202</c:v>
                </c:pt>
                <c:pt idx="62">
                  <c:v>6.3366336633663369</c:v>
                </c:pt>
                <c:pt idx="63">
                  <c:v>7.4358974358974361</c:v>
                </c:pt>
                <c:pt idx="64">
                  <c:v>5.858585858585859</c:v>
                </c:pt>
                <c:pt idx="65">
                  <c:v>10.526315789473685</c:v>
                </c:pt>
                <c:pt idx="66">
                  <c:v>6.1702127659574471</c:v>
                </c:pt>
                <c:pt idx="67">
                  <c:v>8.3333333333333339</c:v>
                </c:pt>
                <c:pt idx="68">
                  <c:v>5.5427251732101617</c:v>
                </c:pt>
                <c:pt idx="69">
                  <c:v>6.8965517241379306</c:v>
                </c:pt>
                <c:pt idx="70">
                  <c:v>3.3333333333333335</c:v>
                </c:pt>
                <c:pt idx="71">
                  <c:v>8.2014388489208638</c:v>
                </c:pt>
                <c:pt idx="72">
                  <c:v>3.1400966183574881</c:v>
                </c:pt>
                <c:pt idx="73">
                  <c:v>4.1335453100158981</c:v>
                </c:pt>
                <c:pt idx="74">
                  <c:v>3.3383915022761759</c:v>
                </c:pt>
                <c:pt idx="75">
                  <c:v>5.070422535211268</c:v>
                </c:pt>
                <c:pt idx="76">
                  <c:v>4.3543543543543546</c:v>
                </c:pt>
                <c:pt idx="77">
                  <c:v>5.2227342549923197</c:v>
                </c:pt>
                <c:pt idx="78">
                  <c:v>5.4432348367029553</c:v>
                </c:pt>
                <c:pt idx="79">
                  <c:v>5.5555555555555554</c:v>
                </c:pt>
                <c:pt idx="80">
                  <c:v>3.3419023136246788</c:v>
                </c:pt>
                <c:pt idx="81">
                  <c:v>5.7228915662650603</c:v>
                </c:pt>
                <c:pt idx="82">
                  <c:v>1.7509727626459144</c:v>
                </c:pt>
                <c:pt idx="83">
                  <c:v>5.6277056277056277</c:v>
                </c:pt>
                <c:pt idx="84">
                  <c:v>6.0995184590690208</c:v>
                </c:pt>
                <c:pt idx="85">
                  <c:v>4.2553191489361701</c:v>
                </c:pt>
                <c:pt idx="86">
                  <c:v>4.2993630573248405</c:v>
                </c:pt>
                <c:pt idx="87">
                  <c:v>6.4575645756457565</c:v>
                </c:pt>
                <c:pt idx="88">
                  <c:v>6.2337662337662341</c:v>
                </c:pt>
                <c:pt idx="89">
                  <c:v>5.913978494623656</c:v>
                </c:pt>
                <c:pt idx="90">
                  <c:v>7.258064516129032</c:v>
                </c:pt>
                <c:pt idx="91">
                  <c:v>3.6984352773826457</c:v>
                </c:pt>
                <c:pt idx="92">
                  <c:v>6.9767441860465116</c:v>
                </c:pt>
                <c:pt idx="93">
                  <c:v>2.8436018957345972</c:v>
                </c:pt>
                <c:pt idx="94">
                  <c:v>4.7263681592039797</c:v>
                </c:pt>
                <c:pt idx="95">
                  <c:v>6.7285382830626448</c:v>
                </c:pt>
                <c:pt idx="96">
                  <c:v>5.882352941176471</c:v>
                </c:pt>
                <c:pt idx="97">
                  <c:v>5.4517133956386292</c:v>
                </c:pt>
                <c:pt idx="98">
                  <c:v>2.6863084922010398</c:v>
                </c:pt>
                <c:pt idx="99">
                  <c:v>9.5744680851063837</c:v>
                </c:pt>
                <c:pt idx="100">
                  <c:v>0</c:v>
                </c:pt>
                <c:pt idx="101">
                  <c:v>1.7142857142857142</c:v>
                </c:pt>
                <c:pt idx="102">
                  <c:v>7.3619631901840492</c:v>
                </c:pt>
                <c:pt idx="103">
                  <c:v>6.2893081761006293</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2-1915-4D2F-A61C-DFA9673AF133}"/>
            </c:ext>
          </c:extLst>
        </c:ser>
        <c:ser>
          <c:idx val="11"/>
          <c:order val="3"/>
          <c:tx>
            <c:strRef>
              <c:f>'Дума одномандатный'!$AG$1</c:f>
              <c:strCache>
                <c:ptCount val="1"/>
                <c:pt idx="0">
                  <c:v>Майданов (Единая Россия)</c:v>
                </c:pt>
              </c:strCache>
            </c:strRef>
          </c:tx>
          <c:spPr>
            <a:solidFill>
              <a:srgbClr val="0000FF">
                <a:alpha val="50196"/>
              </a:srgbClr>
            </a:solidFill>
            <a:ln w="25400">
              <a:noFill/>
            </a:ln>
            <a:effectLst/>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одномандатный'!$AG$2:$AG$105</c:f>
              <c:numCache>
                <c:formatCode>0.0</c:formatCode>
                <c:ptCount val="104"/>
                <c:pt idx="0">
                  <c:v>35</c:v>
                </c:pt>
                <c:pt idx="1">
                  <c:v>30.943396226415093</c:v>
                </c:pt>
                <c:pt idx="2">
                  <c:v>46.082949308755758</c:v>
                </c:pt>
                <c:pt idx="3">
                  <c:v>34.471544715447152</c:v>
                </c:pt>
                <c:pt idx="4">
                  <c:v>50.607287449392715</c:v>
                </c:pt>
                <c:pt idx="5">
                  <c:v>32.612612612612615</c:v>
                </c:pt>
                <c:pt idx="6">
                  <c:v>31.875</c:v>
                </c:pt>
                <c:pt idx="7">
                  <c:v>31.004366812227076</c:v>
                </c:pt>
                <c:pt idx="8">
                  <c:v>29.744525547445257</c:v>
                </c:pt>
                <c:pt idx="9">
                  <c:v>35.908141962421709</c:v>
                </c:pt>
                <c:pt idx="10">
                  <c:v>35.243055555555557</c:v>
                </c:pt>
                <c:pt idx="11">
                  <c:v>28.822055137844611</c:v>
                </c:pt>
                <c:pt idx="12">
                  <c:v>37.288135593220339</c:v>
                </c:pt>
                <c:pt idx="13">
                  <c:v>34.311926605504588</c:v>
                </c:pt>
                <c:pt idx="14">
                  <c:v>35.802469135802468</c:v>
                </c:pt>
                <c:pt idx="15">
                  <c:v>30.620985010706637</c:v>
                </c:pt>
                <c:pt idx="16">
                  <c:v>29.468599033816425</c:v>
                </c:pt>
                <c:pt idx="17">
                  <c:v>37.524557956777997</c:v>
                </c:pt>
                <c:pt idx="18">
                  <c:v>51.19047619047619</c:v>
                </c:pt>
                <c:pt idx="19">
                  <c:v>29.984544049459043</c:v>
                </c:pt>
                <c:pt idx="20">
                  <c:v>31.944444444444443</c:v>
                </c:pt>
                <c:pt idx="21">
                  <c:v>54.913294797687861</c:v>
                </c:pt>
                <c:pt idx="22">
                  <c:v>82.112845138055221</c:v>
                </c:pt>
                <c:pt idx="23">
                  <c:v>45.936395759717314</c:v>
                </c:pt>
                <c:pt idx="24">
                  <c:v>32.061068702290079</c:v>
                </c:pt>
                <c:pt idx="25">
                  <c:v>45.564821834723276</c:v>
                </c:pt>
                <c:pt idx="26">
                  <c:v>69.364968597348224</c:v>
                </c:pt>
                <c:pt idx="27">
                  <c:v>48.106448311156605</c:v>
                </c:pt>
                <c:pt idx="28">
                  <c:v>46.187845303867405</c:v>
                </c:pt>
                <c:pt idx="29">
                  <c:v>35.648148148148145</c:v>
                </c:pt>
                <c:pt idx="30">
                  <c:v>48.433048433048434</c:v>
                </c:pt>
                <c:pt idx="31">
                  <c:v>30.283224400871461</c:v>
                </c:pt>
                <c:pt idx="32">
                  <c:v>60.363636363636367</c:v>
                </c:pt>
                <c:pt idx="33">
                  <c:v>48.330683624801274</c:v>
                </c:pt>
                <c:pt idx="34">
                  <c:v>40.469973890339425</c:v>
                </c:pt>
                <c:pt idx="35">
                  <c:v>59.183673469387756</c:v>
                </c:pt>
                <c:pt idx="36">
                  <c:v>63.590604026845639</c:v>
                </c:pt>
                <c:pt idx="37">
                  <c:v>62.47933884297521</c:v>
                </c:pt>
                <c:pt idx="38">
                  <c:v>52.202937249666221</c:v>
                </c:pt>
                <c:pt idx="39">
                  <c:v>53.564154786150716</c:v>
                </c:pt>
                <c:pt idx="40">
                  <c:v>48.995535714285715</c:v>
                </c:pt>
                <c:pt idx="41">
                  <c:v>33.333333333333336</c:v>
                </c:pt>
                <c:pt idx="42">
                  <c:v>55.135951661631417</c:v>
                </c:pt>
                <c:pt idx="43">
                  <c:v>50.968703427719824</c:v>
                </c:pt>
                <c:pt idx="44">
                  <c:v>37.224669603524227</c:v>
                </c:pt>
                <c:pt idx="45">
                  <c:v>54.330708661417326</c:v>
                </c:pt>
                <c:pt idx="46">
                  <c:v>23.123732251521297</c:v>
                </c:pt>
                <c:pt idx="47">
                  <c:v>47.027506654835847</c:v>
                </c:pt>
                <c:pt idx="48">
                  <c:v>33.837429111531193</c:v>
                </c:pt>
                <c:pt idx="49">
                  <c:v>29.587155963302752</c:v>
                </c:pt>
                <c:pt idx="50">
                  <c:v>27.956989247311828</c:v>
                </c:pt>
                <c:pt idx="51">
                  <c:v>35.443037974683541</c:v>
                </c:pt>
                <c:pt idx="52">
                  <c:v>28.688524590163933</c:v>
                </c:pt>
                <c:pt idx="53">
                  <c:v>37.449392712550605</c:v>
                </c:pt>
                <c:pt idx="54">
                  <c:v>41.007194244604314</c:v>
                </c:pt>
                <c:pt idx="55">
                  <c:v>36.624775583482943</c:v>
                </c:pt>
                <c:pt idx="56">
                  <c:v>48.776065276518587</c:v>
                </c:pt>
                <c:pt idx="57">
                  <c:v>43.049645390070921</c:v>
                </c:pt>
                <c:pt idx="58">
                  <c:v>50.112191473448021</c:v>
                </c:pt>
                <c:pt idx="59">
                  <c:v>41.505376344086024</c:v>
                </c:pt>
                <c:pt idx="60">
                  <c:v>25.897435897435898</c:v>
                </c:pt>
                <c:pt idx="61">
                  <c:v>58.599695585996955</c:v>
                </c:pt>
                <c:pt idx="62">
                  <c:v>25.346534653465348</c:v>
                </c:pt>
                <c:pt idx="63">
                  <c:v>25.641025641025642</c:v>
                </c:pt>
                <c:pt idx="64">
                  <c:v>31.111111111111111</c:v>
                </c:pt>
                <c:pt idx="65">
                  <c:v>28.146453089244851</c:v>
                </c:pt>
                <c:pt idx="66">
                  <c:v>22.553191489361701</c:v>
                </c:pt>
                <c:pt idx="67">
                  <c:v>26.666666666666668</c:v>
                </c:pt>
                <c:pt idx="68">
                  <c:v>40.415704387990765</c:v>
                </c:pt>
                <c:pt idx="69">
                  <c:v>25.391849529780565</c:v>
                </c:pt>
                <c:pt idx="70">
                  <c:v>20.666666666666668</c:v>
                </c:pt>
                <c:pt idx="71">
                  <c:v>29.208633093525179</c:v>
                </c:pt>
                <c:pt idx="72">
                  <c:v>66.666666666666671</c:v>
                </c:pt>
                <c:pt idx="73">
                  <c:v>49.284578696343402</c:v>
                </c:pt>
                <c:pt idx="74">
                  <c:v>54.02124430955994</c:v>
                </c:pt>
                <c:pt idx="75">
                  <c:v>54.647887323943664</c:v>
                </c:pt>
                <c:pt idx="76">
                  <c:v>60.06006006006006</c:v>
                </c:pt>
                <c:pt idx="77">
                  <c:v>46.236559139784944</c:v>
                </c:pt>
                <c:pt idx="78">
                  <c:v>50.544323483670297</c:v>
                </c:pt>
                <c:pt idx="79">
                  <c:v>51.461988304093566</c:v>
                </c:pt>
                <c:pt idx="80">
                  <c:v>39.331619537275067</c:v>
                </c:pt>
                <c:pt idx="81">
                  <c:v>46.987951807228917</c:v>
                </c:pt>
                <c:pt idx="82">
                  <c:v>77.237354085603116</c:v>
                </c:pt>
                <c:pt idx="83">
                  <c:v>33.477633477633475</c:v>
                </c:pt>
                <c:pt idx="84">
                  <c:v>41.412520064205459</c:v>
                </c:pt>
                <c:pt idx="85">
                  <c:v>54.964539007092199</c:v>
                </c:pt>
                <c:pt idx="86">
                  <c:v>40.923566878980893</c:v>
                </c:pt>
                <c:pt idx="87">
                  <c:v>31.549815498154981</c:v>
                </c:pt>
                <c:pt idx="88">
                  <c:v>34.285714285714285</c:v>
                </c:pt>
                <c:pt idx="89">
                  <c:v>38.44086021505376</c:v>
                </c:pt>
                <c:pt idx="90">
                  <c:v>30.107526881720432</c:v>
                </c:pt>
                <c:pt idx="91">
                  <c:v>57.752489331436699</c:v>
                </c:pt>
                <c:pt idx="92">
                  <c:v>36.240310077519382</c:v>
                </c:pt>
                <c:pt idx="93">
                  <c:v>61.611374407582936</c:v>
                </c:pt>
                <c:pt idx="94">
                  <c:v>27.363184079601989</c:v>
                </c:pt>
                <c:pt idx="95">
                  <c:v>29.930394431554525</c:v>
                </c:pt>
                <c:pt idx="96">
                  <c:v>43.157894736842103</c:v>
                </c:pt>
                <c:pt idx="97">
                  <c:v>45.950155763239877</c:v>
                </c:pt>
                <c:pt idx="98">
                  <c:v>76.083188908145587</c:v>
                </c:pt>
                <c:pt idx="99">
                  <c:v>29.574468085106382</c:v>
                </c:pt>
                <c:pt idx="100">
                  <c:v>73.170731707317074</c:v>
                </c:pt>
                <c:pt idx="101">
                  <c:v>68</c:v>
                </c:pt>
                <c:pt idx="102">
                  <c:v>53.374233128834355</c:v>
                </c:pt>
                <c:pt idx="103">
                  <c:v>48.427672955974842</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3-1915-4D2F-A61C-DFA9673AF133}"/>
            </c:ext>
          </c:extLst>
        </c:ser>
        <c:ser>
          <c:idx val="12"/>
          <c:order val="4"/>
          <c:tx>
            <c:strRef>
              <c:f>'Дума одномандатный'!$AI$1</c:f>
              <c:strCache>
                <c:ptCount val="1"/>
                <c:pt idx="0">
                  <c:v>Пархоменко (ЛДПР)</c:v>
                </c:pt>
              </c:strCache>
            </c:strRef>
          </c:tx>
          <c:spPr>
            <a:solidFill>
              <a:srgbClr val="FF9900">
                <a:alpha val="49804"/>
              </a:srgbClr>
            </a:solidFill>
            <a:ln w="25400">
              <a:noFill/>
            </a:ln>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одномандатный'!$AI$2:$AI$105</c:f>
              <c:numCache>
                <c:formatCode>0.0</c:formatCode>
                <c:ptCount val="104"/>
                <c:pt idx="0">
                  <c:v>11.428571428571429</c:v>
                </c:pt>
                <c:pt idx="1">
                  <c:v>13.39622641509434</c:v>
                </c:pt>
                <c:pt idx="2">
                  <c:v>9.9078341013824893</c:v>
                </c:pt>
                <c:pt idx="3">
                  <c:v>10.731707317073171</c:v>
                </c:pt>
                <c:pt idx="4">
                  <c:v>9.7165991902834001</c:v>
                </c:pt>
                <c:pt idx="5">
                  <c:v>13.333333333333334</c:v>
                </c:pt>
                <c:pt idx="6">
                  <c:v>12.083333333333334</c:v>
                </c:pt>
                <c:pt idx="7">
                  <c:v>11.644832605531295</c:v>
                </c:pt>
                <c:pt idx="8">
                  <c:v>11.131386861313869</c:v>
                </c:pt>
                <c:pt idx="9">
                  <c:v>8.1419624217119004</c:v>
                </c:pt>
                <c:pt idx="10">
                  <c:v>14.0625</c:v>
                </c:pt>
                <c:pt idx="11">
                  <c:v>13.784461152882205</c:v>
                </c:pt>
                <c:pt idx="12">
                  <c:v>10.169491525423728</c:v>
                </c:pt>
                <c:pt idx="13">
                  <c:v>12.293577981651376</c:v>
                </c:pt>
                <c:pt idx="14">
                  <c:v>9.8765432098765427</c:v>
                </c:pt>
                <c:pt idx="15">
                  <c:v>11.563169164882227</c:v>
                </c:pt>
                <c:pt idx="16">
                  <c:v>10.628019323671497</c:v>
                </c:pt>
                <c:pt idx="17">
                  <c:v>9.8231827111984291</c:v>
                </c:pt>
                <c:pt idx="18">
                  <c:v>10.714285714285714</c:v>
                </c:pt>
                <c:pt idx="19">
                  <c:v>11.746522411128284</c:v>
                </c:pt>
                <c:pt idx="20">
                  <c:v>13.425925925925926</c:v>
                </c:pt>
                <c:pt idx="21">
                  <c:v>4.4315992292870909</c:v>
                </c:pt>
                <c:pt idx="22">
                  <c:v>8.6434573829531818</c:v>
                </c:pt>
                <c:pt idx="23">
                  <c:v>1.7667844522968197</c:v>
                </c:pt>
                <c:pt idx="24">
                  <c:v>11.704834605597965</c:v>
                </c:pt>
                <c:pt idx="25">
                  <c:v>8.9461713419257016</c:v>
                </c:pt>
                <c:pt idx="26">
                  <c:v>5.0244242847173766</c:v>
                </c:pt>
                <c:pt idx="27">
                  <c:v>9.7236438075742075</c:v>
                </c:pt>
                <c:pt idx="28">
                  <c:v>9.5027624309392262</c:v>
                </c:pt>
                <c:pt idx="29">
                  <c:v>8.7962962962962958</c:v>
                </c:pt>
                <c:pt idx="30">
                  <c:v>10.683760683760683</c:v>
                </c:pt>
                <c:pt idx="31">
                  <c:v>11.982570806100219</c:v>
                </c:pt>
                <c:pt idx="32">
                  <c:v>5.8181818181818183</c:v>
                </c:pt>
                <c:pt idx="33">
                  <c:v>7.631160572337043</c:v>
                </c:pt>
                <c:pt idx="34">
                  <c:v>7.5718015665796345</c:v>
                </c:pt>
                <c:pt idx="35">
                  <c:v>8.4548104956268215</c:v>
                </c:pt>
                <c:pt idx="36">
                  <c:v>3.1879194630872485</c:v>
                </c:pt>
                <c:pt idx="37">
                  <c:v>5.1239669421487601</c:v>
                </c:pt>
                <c:pt idx="38">
                  <c:v>4.1388518024032042</c:v>
                </c:pt>
                <c:pt idx="39">
                  <c:v>7.1283095723014256</c:v>
                </c:pt>
                <c:pt idx="40">
                  <c:v>5.5803571428571432</c:v>
                </c:pt>
                <c:pt idx="41">
                  <c:v>7.8947368421052628</c:v>
                </c:pt>
                <c:pt idx="42">
                  <c:v>7.5528700906344408</c:v>
                </c:pt>
                <c:pt idx="43">
                  <c:v>6.2593144560357672</c:v>
                </c:pt>
                <c:pt idx="44">
                  <c:v>12.775330396475772</c:v>
                </c:pt>
                <c:pt idx="45">
                  <c:v>3.9370078740157481</c:v>
                </c:pt>
                <c:pt idx="46">
                  <c:v>6.2880324543610548</c:v>
                </c:pt>
                <c:pt idx="47">
                  <c:v>7.8970718722271513</c:v>
                </c:pt>
                <c:pt idx="48">
                  <c:v>8.5066162570888473</c:v>
                </c:pt>
                <c:pt idx="49">
                  <c:v>10.55045871559633</c:v>
                </c:pt>
                <c:pt idx="50">
                  <c:v>12.903225806451612</c:v>
                </c:pt>
                <c:pt idx="51">
                  <c:v>6.3291139240506329</c:v>
                </c:pt>
                <c:pt idx="52">
                  <c:v>6.557377049180328</c:v>
                </c:pt>
                <c:pt idx="53">
                  <c:v>10.728744939271255</c:v>
                </c:pt>
                <c:pt idx="54">
                  <c:v>9.8920863309352516</c:v>
                </c:pt>
                <c:pt idx="55">
                  <c:v>9.6947935368043083</c:v>
                </c:pt>
                <c:pt idx="56">
                  <c:v>10.970081595648232</c:v>
                </c:pt>
                <c:pt idx="57">
                  <c:v>12.978723404255319</c:v>
                </c:pt>
                <c:pt idx="58">
                  <c:v>11.742707554225879</c:v>
                </c:pt>
                <c:pt idx="59">
                  <c:v>7.096774193548387</c:v>
                </c:pt>
                <c:pt idx="60">
                  <c:v>12.051282051282051</c:v>
                </c:pt>
                <c:pt idx="61">
                  <c:v>3.8051750380517504</c:v>
                </c:pt>
                <c:pt idx="62">
                  <c:v>9.1089108910891081</c:v>
                </c:pt>
                <c:pt idx="63">
                  <c:v>7.6923076923076925</c:v>
                </c:pt>
                <c:pt idx="64">
                  <c:v>8.4848484848484844</c:v>
                </c:pt>
                <c:pt idx="65">
                  <c:v>8.2379862700228834</c:v>
                </c:pt>
                <c:pt idx="66">
                  <c:v>9.5744680851063837</c:v>
                </c:pt>
                <c:pt idx="67">
                  <c:v>8.8095238095238102</c:v>
                </c:pt>
                <c:pt idx="68">
                  <c:v>9.2378752886836022</c:v>
                </c:pt>
                <c:pt idx="69">
                  <c:v>8.4639498432601883</c:v>
                </c:pt>
                <c:pt idx="70">
                  <c:v>7.333333333333333</c:v>
                </c:pt>
                <c:pt idx="71">
                  <c:v>12.37410071942446</c:v>
                </c:pt>
                <c:pt idx="72">
                  <c:v>7.2463768115942031</c:v>
                </c:pt>
                <c:pt idx="73">
                  <c:v>6.995230524642289</c:v>
                </c:pt>
                <c:pt idx="74">
                  <c:v>8.0424886191198794</c:v>
                </c:pt>
                <c:pt idx="75">
                  <c:v>10.704225352112676</c:v>
                </c:pt>
                <c:pt idx="76">
                  <c:v>7.8078078078078077</c:v>
                </c:pt>
                <c:pt idx="77">
                  <c:v>6.1443932411674345</c:v>
                </c:pt>
                <c:pt idx="78">
                  <c:v>6.3763608087091761</c:v>
                </c:pt>
                <c:pt idx="79">
                  <c:v>6.1403508771929829</c:v>
                </c:pt>
                <c:pt idx="80">
                  <c:v>6.6838046272493576</c:v>
                </c:pt>
                <c:pt idx="81">
                  <c:v>6.3253012048192767</c:v>
                </c:pt>
                <c:pt idx="82">
                  <c:v>2.7237354085603114</c:v>
                </c:pt>
                <c:pt idx="83">
                  <c:v>8.8023088023088025</c:v>
                </c:pt>
                <c:pt idx="84">
                  <c:v>8.1861958266452657</c:v>
                </c:pt>
                <c:pt idx="85">
                  <c:v>6.7375886524822697</c:v>
                </c:pt>
                <c:pt idx="86">
                  <c:v>9.0764331210191092</c:v>
                </c:pt>
                <c:pt idx="87">
                  <c:v>9.0405904059040587</c:v>
                </c:pt>
                <c:pt idx="88">
                  <c:v>10.38961038961039</c:v>
                </c:pt>
                <c:pt idx="89">
                  <c:v>8.064516129032258</c:v>
                </c:pt>
                <c:pt idx="90">
                  <c:v>10.21505376344086</c:v>
                </c:pt>
                <c:pt idx="91">
                  <c:v>5.4054054054054053</c:v>
                </c:pt>
                <c:pt idx="92">
                  <c:v>10.65891472868217</c:v>
                </c:pt>
                <c:pt idx="93">
                  <c:v>6.3981042654028437</c:v>
                </c:pt>
                <c:pt idx="94">
                  <c:v>8.9552238805970141</c:v>
                </c:pt>
                <c:pt idx="95">
                  <c:v>10.904872389791183</c:v>
                </c:pt>
                <c:pt idx="96">
                  <c:v>11.145510835913313</c:v>
                </c:pt>
                <c:pt idx="97">
                  <c:v>10.046728971962617</c:v>
                </c:pt>
                <c:pt idx="98">
                  <c:v>5.1126516464471408</c:v>
                </c:pt>
                <c:pt idx="99">
                  <c:v>8.2978723404255312</c:v>
                </c:pt>
                <c:pt idx="100">
                  <c:v>7.3170731707317076</c:v>
                </c:pt>
                <c:pt idx="101">
                  <c:v>2.8571428571428572</c:v>
                </c:pt>
                <c:pt idx="102">
                  <c:v>10.429447852760736</c:v>
                </c:pt>
                <c:pt idx="103">
                  <c:v>8.8050314465408803</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4-1915-4D2F-A61C-DFA9673AF133}"/>
            </c:ext>
          </c:extLst>
        </c:ser>
        <c:ser>
          <c:idx val="13"/>
          <c:order val="5"/>
          <c:tx>
            <c:strRef>
              <c:f>'Дума одномандатный'!$AK$1</c:f>
              <c:strCache>
                <c:ptCount val="1"/>
                <c:pt idx="0">
                  <c:v>Степанов (КР)</c:v>
                </c:pt>
              </c:strCache>
            </c:strRef>
          </c:tx>
          <c:spPr>
            <a:solidFill>
              <a:srgbClr val="FF9999">
                <a:alpha val="50196"/>
              </a:srgbClr>
            </a:solidFill>
            <a:ln w="25400"/>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одномандатный'!$AK$2:$AK$105</c:f>
              <c:numCache>
                <c:formatCode>0.0</c:formatCode>
                <c:ptCount val="104"/>
                <c:pt idx="0">
                  <c:v>6.7857142857142856</c:v>
                </c:pt>
                <c:pt idx="1">
                  <c:v>8.3018867924528301</c:v>
                </c:pt>
                <c:pt idx="2">
                  <c:v>9.4470046082949306</c:v>
                </c:pt>
                <c:pt idx="3">
                  <c:v>7.8048780487804876</c:v>
                </c:pt>
                <c:pt idx="4">
                  <c:v>6.4777327935222671</c:v>
                </c:pt>
                <c:pt idx="5">
                  <c:v>7.2072072072072073</c:v>
                </c:pt>
                <c:pt idx="6">
                  <c:v>9.1666666666666661</c:v>
                </c:pt>
                <c:pt idx="7">
                  <c:v>8.7336244541484724</c:v>
                </c:pt>
                <c:pt idx="8">
                  <c:v>9.4890510948905114</c:v>
                </c:pt>
                <c:pt idx="9">
                  <c:v>6.2630480167014611</c:v>
                </c:pt>
                <c:pt idx="10">
                  <c:v>5.5555555555555554</c:v>
                </c:pt>
                <c:pt idx="11">
                  <c:v>9.022556390977444</c:v>
                </c:pt>
                <c:pt idx="12">
                  <c:v>4.8022598870056497</c:v>
                </c:pt>
                <c:pt idx="13">
                  <c:v>7.522935779816514</c:v>
                </c:pt>
                <c:pt idx="14">
                  <c:v>6.9135802469135799</c:v>
                </c:pt>
                <c:pt idx="15">
                  <c:v>7.7087794432548176</c:v>
                </c:pt>
                <c:pt idx="16">
                  <c:v>10.869565217391305</c:v>
                </c:pt>
                <c:pt idx="17">
                  <c:v>7.6620825147347738</c:v>
                </c:pt>
                <c:pt idx="18">
                  <c:v>10.714285714285714</c:v>
                </c:pt>
                <c:pt idx="19">
                  <c:v>7.2642967542503865</c:v>
                </c:pt>
                <c:pt idx="20">
                  <c:v>4.166666666666667</c:v>
                </c:pt>
                <c:pt idx="21">
                  <c:v>3.0828516377649327</c:v>
                </c:pt>
                <c:pt idx="22">
                  <c:v>3.3613445378151261</c:v>
                </c:pt>
                <c:pt idx="23">
                  <c:v>2.1201413427561837</c:v>
                </c:pt>
                <c:pt idx="24">
                  <c:v>6.8702290076335881</c:v>
                </c:pt>
                <c:pt idx="25">
                  <c:v>7.8089461713419253</c:v>
                </c:pt>
                <c:pt idx="26">
                  <c:v>3.8381018841591068</c:v>
                </c:pt>
                <c:pt idx="27">
                  <c:v>6.1412487205731834</c:v>
                </c:pt>
                <c:pt idx="28">
                  <c:v>5.8563535911602207</c:v>
                </c:pt>
                <c:pt idx="29">
                  <c:v>7.1759259259259256</c:v>
                </c:pt>
                <c:pt idx="30">
                  <c:v>6.1965811965811968</c:v>
                </c:pt>
                <c:pt idx="31">
                  <c:v>10.239651416122005</c:v>
                </c:pt>
                <c:pt idx="32">
                  <c:v>5.8181818181818183</c:v>
                </c:pt>
                <c:pt idx="33">
                  <c:v>8.5850556438791727</c:v>
                </c:pt>
                <c:pt idx="34">
                  <c:v>8.0939947780678843</c:v>
                </c:pt>
                <c:pt idx="35">
                  <c:v>4.8104956268221573</c:v>
                </c:pt>
                <c:pt idx="36">
                  <c:v>4.1946308724832218</c:v>
                </c:pt>
                <c:pt idx="37">
                  <c:v>4.4628099173553721</c:v>
                </c:pt>
                <c:pt idx="38">
                  <c:v>3.7383177570093458</c:v>
                </c:pt>
                <c:pt idx="39">
                  <c:v>3.8696537678207741</c:v>
                </c:pt>
                <c:pt idx="40">
                  <c:v>5.5803571428571432</c:v>
                </c:pt>
                <c:pt idx="41">
                  <c:v>7.3099415204678362</c:v>
                </c:pt>
                <c:pt idx="42">
                  <c:v>8.1570996978851955</c:v>
                </c:pt>
                <c:pt idx="43">
                  <c:v>6.7064083457526085</c:v>
                </c:pt>
                <c:pt idx="44">
                  <c:v>4.4052863436123344</c:v>
                </c:pt>
                <c:pt idx="45">
                  <c:v>6.4566929133858268</c:v>
                </c:pt>
                <c:pt idx="46">
                  <c:v>8.1135902636916839</c:v>
                </c:pt>
                <c:pt idx="47">
                  <c:v>7.0097604259094943</c:v>
                </c:pt>
                <c:pt idx="48">
                  <c:v>9.0737240075614363</c:v>
                </c:pt>
                <c:pt idx="49">
                  <c:v>10.55045871559633</c:v>
                </c:pt>
                <c:pt idx="50">
                  <c:v>15.053763440860216</c:v>
                </c:pt>
                <c:pt idx="51">
                  <c:v>16.455696202531644</c:v>
                </c:pt>
                <c:pt idx="52">
                  <c:v>7.3770491803278686</c:v>
                </c:pt>
                <c:pt idx="53">
                  <c:v>8.9068825910931171</c:v>
                </c:pt>
                <c:pt idx="54">
                  <c:v>7.3741007194244608</c:v>
                </c:pt>
                <c:pt idx="55">
                  <c:v>6.642728904847397</c:v>
                </c:pt>
                <c:pt idx="56">
                  <c:v>5.3490480507706257</c:v>
                </c:pt>
                <c:pt idx="57">
                  <c:v>9.0070921985815602</c:v>
                </c:pt>
                <c:pt idx="58">
                  <c:v>4.4128646222887058</c:v>
                </c:pt>
                <c:pt idx="59">
                  <c:v>7.096774193548387</c:v>
                </c:pt>
                <c:pt idx="60">
                  <c:v>11.538461538461538</c:v>
                </c:pt>
                <c:pt idx="61">
                  <c:v>5.6316590563165905</c:v>
                </c:pt>
                <c:pt idx="62">
                  <c:v>7.1287128712871288</c:v>
                </c:pt>
                <c:pt idx="63">
                  <c:v>9.2307692307692299</c:v>
                </c:pt>
                <c:pt idx="64">
                  <c:v>9.8989898989898997</c:v>
                </c:pt>
                <c:pt idx="65">
                  <c:v>7.3226544622425633</c:v>
                </c:pt>
                <c:pt idx="66">
                  <c:v>9.1489361702127656</c:v>
                </c:pt>
                <c:pt idx="67">
                  <c:v>9.2857142857142865</c:v>
                </c:pt>
                <c:pt idx="68">
                  <c:v>8.5450346420323324</c:v>
                </c:pt>
                <c:pt idx="69">
                  <c:v>9.0909090909090917</c:v>
                </c:pt>
                <c:pt idx="70">
                  <c:v>8</c:v>
                </c:pt>
                <c:pt idx="71">
                  <c:v>6.9064748201438846</c:v>
                </c:pt>
                <c:pt idx="72">
                  <c:v>5.5555555555555554</c:v>
                </c:pt>
                <c:pt idx="73">
                  <c:v>6.2003179650238476</c:v>
                </c:pt>
                <c:pt idx="74">
                  <c:v>6.2215477996965101</c:v>
                </c:pt>
                <c:pt idx="75">
                  <c:v>9.295774647887324</c:v>
                </c:pt>
                <c:pt idx="76">
                  <c:v>6.0060060060060056</c:v>
                </c:pt>
                <c:pt idx="77">
                  <c:v>9.0629800307219668</c:v>
                </c:pt>
                <c:pt idx="78">
                  <c:v>10.26438569206843</c:v>
                </c:pt>
                <c:pt idx="79">
                  <c:v>12.865497076023392</c:v>
                </c:pt>
                <c:pt idx="80">
                  <c:v>10.282776349614396</c:v>
                </c:pt>
                <c:pt idx="81">
                  <c:v>11.144578313253012</c:v>
                </c:pt>
                <c:pt idx="82">
                  <c:v>4.863813229571984</c:v>
                </c:pt>
                <c:pt idx="83">
                  <c:v>8.0808080808080813</c:v>
                </c:pt>
                <c:pt idx="84">
                  <c:v>8.0256821829855536</c:v>
                </c:pt>
                <c:pt idx="85">
                  <c:v>5.6737588652482271</c:v>
                </c:pt>
                <c:pt idx="86">
                  <c:v>8.2802547770700645</c:v>
                </c:pt>
                <c:pt idx="87">
                  <c:v>8.8560885608856097</c:v>
                </c:pt>
                <c:pt idx="88">
                  <c:v>9.6103896103896105</c:v>
                </c:pt>
                <c:pt idx="89">
                  <c:v>8.6021505376344081</c:v>
                </c:pt>
                <c:pt idx="90">
                  <c:v>11.021505376344086</c:v>
                </c:pt>
                <c:pt idx="91">
                  <c:v>4.9786628733997151</c:v>
                </c:pt>
                <c:pt idx="92">
                  <c:v>9.4961240310077528</c:v>
                </c:pt>
                <c:pt idx="93">
                  <c:v>4.7393364928909953</c:v>
                </c:pt>
                <c:pt idx="94">
                  <c:v>4.4776119402985071</c:v>
                </c:pt>
                <c:pt idx="95">
                  <c:v>10.440835266821345</c:v>
                </c:pt>
                <c:pt idx="96">
                  <c:v>6.7492260061919502</c:v>
                </c:pt>
                <c:pt idx="97">
                  <c:v>5.3738317757009346</c:v>
                </c:pt>
                <c:pt idx="98">
                  <c:v>1.6464471403812826</c:v>
                </c:pt>
                <c:pt idx="99">
                  <c:v>9.3617021276595747</c:v>
                </c:pt>
                <c:pt idx="100">
                  <c:v>2.4390243902439024</c:v>
                </c:pt>
                <c:pt idx="101">
                  <c:v>1.1428571428571428</c:v>
                </c:pt>
                <c:pt idx="102">
                  <c:v>9.2024539877300615</c:v>
                </c:pt>
                <c:pt idx="103">
                  <c:v>5.0314465408805029</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5-1915-4D2F-A61C-DFA9673AF133}"/>
            </c:ext>
          </c:extLst>
        </c:ser>
        <c:ser>
          <c:idx val="2"/>
          <c:order val="6"/>
          <c:tx>
            <c:strRef>
              <c:f>'Дума одномандатный'!$AM$1</c:f>
              <c:strCache>
                <c:ptCount val="1"/>
                <c:pt idx="0">
                  <c:v>Сукязян (Экол. зеленые)</c:v>
                </c:pt>
              </c:strCache>
            </c:strRef>
          </c:tx>
          <c:spPr>
            <a:solidFill>
              <a:srgbClr val="66FF66">
                <a:alpha val="49804"/>
              </a:srgbClr>
            </a:solidFill>
            <a:ln w="25400">
              <a:noFill/>
            </a:ln>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одномандатный'!$AM$2:$AM$105</c:f>
              <c:numCache>
                <c:formatCode>0.0</c:formatCode>
                <c:ptCount val="104"/>
                <c:pt idx="0">
                  <c:v>0.35714285714285715</c:v>
                </c:pt>
                <c:pt idx="1">
                  <c:v>2.0754716981132075</c:v>
                </c:pt>
                <c:pt idx="2">
                  <c:v>1.6129032258064515</c:v>
                </c:pt>
                <c:pt idx="3">
                  <c:v>0.97560975609756095</c:v>
                </c:pt>
                <c:pt idx="4">
                  <c:v>1.6194331983805668</c:v>
                </c:pt>
                <c:pt idx="5">
                  <c:v>1.0810810810810811</c:v>
                </c:pt>
                <c:pt idx="6">
                  <c:v>1.4583333333333333</c:v>
                </c:pt>
                <c:pt idx="7">
                  <c:v>1.3100436681222707</c:v>
                </c:pt>
                <c:pt idx="8">
                  <c:v>1.4598540145985401</c:v>
                </c:pt>
                <c:pt idx="9">
                  <c:v>0.62630480167014613</c:v>
                </c:pt>
                <c:pt idx="10">
                  <c:v>1.0416666666666667</c:v>
                </c:pt>
                <c:pt idx="11">
                  <c:v>1.7543859649122806</c:v>
                </c:pt>
                <c:pt idx="12">
                  <c:v>2.2598870056497176</c:v>
                </c:pt>
                <c:pt idx="13">
                  <c:v>2.7522935779816513</c:v>
                </c:pt>
                <c:pt idx="14">
                  <c:v>2.9629629629629628</c:v>
                </c:pt>
                <c:pt idx="15">
                  <c:v>1.4989293361884368</c:v>
                </c:pt>
                <c:pt idx="16">
                  <c:v>0.96618357487922701</c:v>
                </c:pt>
                <c:pt idx="17">
                  <c:v>1.768172888015717</c:v>
                </c:pt>
                <c:pt idx="18">
                  <c:v>1.7857142857142858</c:v>
                </c:pt>
                <c:pt idx="19">
                  <c:v>1.545595054095827</c:v>
                </c:pt>
                <c:pt idx="20">
                  <c:v>1.3888888888888888</c:v>
                </c:pt>
                <c:pt idx="21">
                  <c:v>1.9267822736030829</c:v>
                </c:pt>
                <c:pt idx="22">
                  <c:v>0</c:v>
                </c:pt>
                <c:pt idx="23">
                  <c:v>0</c:v>
                </c:pt>
                <c:pt idx="24">
                  <c:v>0.76335877862595425</c:v>
                </c:pt>
                <c:pt idx="25">
                  <c:v>3.1842304776345718</c:v>
                </c:pt>
                <c:pt idx="26">
                  <c:v>0.69783670621074667</c:v>
                </c:pt>
                <c:pt idx="27">
                  <c:v>2.5588536335721597</c:v>
                </c:pt>
                <c:pt idx="28">
                  <c:v>1.2154696132596685</c:v>
                </c:pt>
                <c:pt idx="29">
                  <c:v>2.3148148148148149</c:v>
                </c:pt>
                <c:pt idx="30">
                  <c:v>2.0655270655270654</c:v>
                </c:pt>
                <c:pt idx="31">
                  <c:v>1.5250544662309369</c:v>
                </c:pt>
                <c:pt idx="32">
                  <c:v>2.5454545454545454</c:v>
                </c:pt>
                <c:pt idx="33">
                  <c:v>1.589825119236884</c:v>
                </c:pt>
                <c:pt idx="34">
                  <c:v>3.524804177545692</c:v>
                </c:pt>
                <c:pt idx="35">
                  <c:v>1.8950437317784257</c:v>
                </c:pt>
                <c:pt idx="36">
                  <c:v>2.0134228187919465</c:v>
                </c:pt>
                <c:pt idx="37">
                  <c:v>0.49586776859504134</c:v>
                </c:pt>
                <c:pt idx="38">
                  <c:v>0.53404539385847793</c:v>
                </c:pt>
                <c:pt idx="39">
                  <c:v>0.40733197556008149</c:v>
                </c:pt>
                <c:pt idx="40">
                  <c:v>3.5714285714285716</c:v>
                </c:pt>
                <c:pt idx="41">
                  <c:v>2.6315789473684212</c:v>
                </c:pt>
                <c:pt idx="42">
                  <c:v>1.5105740181268883</c:v>
                </c:pt>
                <c:pt idx="43">
                  <c:v>1.3412816691505216</c:v>
                </c:pt>
                <c:pt idx="44">
                  <c:v>3.5242290748898677</c:v>
                </c:pt>
                <c:pt idx="45">
                  <c:v>1.1023622047244095</c:v>
                </c:pt>
                <c:pt idx="46">
                  <c:v>2.4340770791075053</c:v>
                </c:pt>
                <c:pt idx="47">
                  <c:v>3.904170363797693</c:v>
                </c:pt>
                <c:pt idx="48">
                  <c:v>2.8355387523629489</c:v>
                </c:pt>
                <c:pt idx="49">
                  <c:v>0.45871559633027525</c:v>
                </c:pt>
                <c:pt idx="50">
                  <c:v>1.075268817204301</c:v>
                </c:pt>
                <c:pt idx="51">
                  <c:v>2.5316455696202533</c:v>
                </c:pt>
                <c:pt idx="52">
                  <c:v>0.81967213114754101</c:v>
                </c:pt>
                <c:pt idx="53">
                  <c:v>1.417004048582996</c:v>
                </c:pt>
                <c:pt idx="54">
                  <c:v>1.079136690647482</c:v>
                </c:pt>
                <c:pt idx="55">
                  <c:v>1.9748653500897666</c:v>
                </c:pt>
                <c:pt idx="56">
                  <c:v>2.5385312783318223</c:v>
                </c:pt>
                <c:pt idx="57">
                  <c:v>1.4893617021276595</c:v>
                </c:pt>
                <c:pt idx="58">
                  <c:v>1.4210919970082274</c:v>
                </c:pt>
                <c:pt idx="59">
                  <c:v>1.935483870967742</c:v>
                </c:pt>
                <c:pt idx="60">
                  <c:v>1.2820512820512822</c:v>
                </c:pt>
                <c:pt idx="61">
                  <c:v>1.06544901065449</c:v>
                </c:pt>
                <c:pt idx="62">
                  <c:v>1.1881188118811881</c:v>
                </c:pt>
                <c:pt idx="63">
                  <c:v>1.0256410256410255</c:v>
                </c:pt>
                <c:pt idx="64">
                  <c:v>2.0202020202020203</c:v>
                </c:pt>
                <c:pt idx="65">
                  <c:v>3.6613272311212817</c:v>
                </c:pt>
                <c:pt idx="66">
                  <c:v>1.0638297872340425</c:v>
                </c:pt>
                <c:pt idx="67">
                  <c:v>2.6190476190476191</c:v>
                </c:pt>
                <c:pt idx="68">
                  <c:v>0.92378752886836024</c:v>
                </c:pt>
                <c:pt idx="69">
                  <c:v>2.5078369905956115</c:v>
                </c:pt>
                <c:pt idx="70">
                  <c:v>2</c:v>
                </c:pt>
                <c:pt idx="71">
                  <c:v>1.5827338129496402</c:v>
                </c:pt>
                <c:pt idx="72">
                  <c:v>0.24154589371980675</c:v>
                </c:pt>
                <c:pt idx="73">
                  <c:v>0.79491255961844198</c:v>
                </c:pt>
                <c:pt idx="74">
                  <c:v>1.3657056145675266</c:v>
                </c:pt>
                <c:pt idx="75">
                  <c:v>0.28169014084507044</c:v>
                </c:pt>
                <c:pt idx="76">
                  <c:v>1.0510510510510511</c:v>
                </c:pt>
                <c:pt idx="77">
                  <c:v>1.3824884792626728</c:v>
                </c:pt>
                <c:pt idx="78">
                  <c:v>0.77760497667185069</c:v>
                </c:pt>
                <c:pt idx="79">
                  <c:v>0.8771929824561403</c:v>
                </c:pt>
                <c:pt idx="80">
                  <c:v>1.5424164524421593</c:v>
                </c:pt>
                <c:pt idx="81">
                  <c:v>0.90361445783132532</c:v>
                </c:pt>
                <c:pt idx="82">
                  <c:v>0.19455252918287938</c:v>
                </c:pt>
                <c:pt idx="83">
                  <c:v>2.0202020202020203</c:v>
                </c:pt>
                <c:pt idx="84">
                  <c:v>0.96308186195826651</c:v>
                </c:pt>
                <c:pt idx="85">
                  <c:v>1.7730496453900708</c:v>
                </c:pt>
                <c:pt idx="86">
                  <c:v>1.2738853503184713</c:v>
                </c:pt>
                <c:pt idx="87">
                  <c:v>1.4760147601476015</c:v>
                </c:pt>
                <c:pt idx="88">
                  <c:v>0.77922077922077926</c:v>
                </c:pt>
                <c:pt idx="89">
                  <c:v>0.80645161290322576</c:v>
                </c:pt>
                <c:pt idx="90">
                  <c:v>2.4193548387096775</c:v>
                </c:pt>
                <c:pt idx="91">
                  <c:v>0.99573257467994314</c:v>
                </c:pt>
                <c:pt idx="92">
                  <c:v>1.3565891472868217</c:v>
                </c:pt>
                <c:pt idx="93">
                  <c:v>0.94786729857819907</c:v>
                </c:pt>
                <c:pt idx="94">
                  <c:v>2.4875621890547261</c:v>
                </c:pt>
                <c:pt idx="95">
                  <c:v>1.3921113689095128</c:v>
                </c:pt>
                <c:pt idx="96">
                  <c:v>2.4767801857585141</c:v>
                </c:pt>
                <c:pt idx="97">
                  <c:v>2.2585669781931466</c:v>
                </c:pt>
                <c:pt idx="98">
                  <c:v>2.4263431542461005</c:v>
                </c:pt>
                <c:pt idx="99">
                  <c:v>0.85106382978723405</c:v>
                </c:pt>
                <c:pt idx="100">
                  <c:v>2.4390243902439024</c:v>
                </c:pt>
                <c:pt idx="101">
                  <c:v>1.1428571428571428</c:v>
                </c:pt>
                <c:pt idx="102">
                  <c:v>1.2269938650306749</c:v>
                </c:pt>
                <c:pt idx="103">
                  <c:v>5.0314465408805029</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0-4231-4C48-B503-8A820FF1CB64}"/>
            </c:ext>
          </c:extLst>
        </c:ser>
        <c:ser>
          <c:idx val="14"/>
          <c:order val="7"/>
          <c:tx>
            <c:strRef>
              <c:f>'Дума одномандатный'!$AO$1</c:f>
              <c:strCache>
                <c:ptCount val="1"/>
                <c:pt idx="0">
                  <c:v>Теняев (КПРФ)</c:v>
                </c:pt>
              </c:strCache>
            </c:strRef>
          </c:tx>
          <c:spPr>
            <a:solidFill>
              <a:srgbClr val="FF0000">
                <a:alpha val="50196"/>
              </a:srgbClr>
            </a:solidFill>
            <a:ln w="25400">
              <a:noFill/>
            </a:ln>
            <a:effectLst/>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одномандатный'!$AO$2:$AO$105</c:f>
              <c:numCache>
                <c:formatCode>0.0</c:formatCode>
                <c:ptCount val="104"/>
                <c:pt idx="0">
                  <c:v>21.785714285714285</c:v>
                </c:pt>
                <c:pt idx="1">
                  <c:v>12.830188679245284</c:v>
                </c:pt>
                <c:pt idx="2">
                  <c:v>8.9861751152073737</c:v>
                </c:pt>
                <c:pt idx="3">
                  <c:v>15.284552845528456</c:v>
                </c:pt>
                <c:pt idx="4">
                  <c:v>3.4412955465587043</c:v>
                </c:pt>
                <c:pt idx="5">
                  <c:v>14.954954954954955</c:v>
                </c:pt>
                <c:pt idx="6">
                  <c:v>16.041666666666668</c:v>
                </c:pt>
                <c:pt idx="7">
                  <c:v>15.866084425036391</c:v>
                </c:pt>
                <c:pt idx="8">
                  <c:v>19.160583941605839</c:v>
                </c:pt>
                <c:pt idx="9">
                  <c:v>12.943632567849686</c:v>
                </c:pt>
                <c:pt idx="10">
                  <c:v>15.972222222222221</c:v>
                </c:pt>
                <c:pt idx="11">
                  <c:v>17.042606516290729</c:v>
                </c:pt>
                <c:pt idx="12">
                  <c:v>20.338983050847457</c:v>
                </c:pt>
                <c:pt idx="13">
                  <c:v>12.660550458715596</c:v>
                </c:pt>
                <c:pt idx="14">
                  <c:v>16.296296296296298</c:v>
                </c:pt>
                <c:pt idx="15">
                  <c:v>14.346895074946467</c:v>
                </c:pt>
                <c:pt idx="16">
                  <c:v>13.043478260869565</c:v>
                </c:pt>
                <c:pt idx="17">
                  <c:v>15.12770137524558</c:v>
                </c:pt>
                <c:pt idx="18">
                  <c:v>8.9285714285714288</c:v>
                </c:pt>
                <c:pt idx="19">
                  <c:v>18.856259659969087</c:v>
                </c:pt>
                <c:pt idx="20">
                  <c:v>18.518518518518519</c:v>
                </c:pt>
                <c:pt idx="21">
                  <c:v>9.4412331406551058</c:v>
                </c:pt>
                <c:pt idx="22">
                  <c:v>0</c:v>
                </c:pt>
                <c:pt idx="23">
                  <c:v>2.1201413427561837</c:v>
                </c:pt>
                <c:pt idx="24">
                  <c:v>13.994910941475826</c:v>
                </c:pt>
                <c:pt idx="25">
                  <c:v>7.7331311599696742</c:v>
                </c:pt>
                <c:pt idx="26">
                  <c:v>7.1877180739706912</c:v>
                </c:pt>
                <c:pt idx="27">
                  <c:v>10.542476970317297</c:v>
                </c:pt>
                <c:pt idx="28">
                  <c:v>10.05524861878453</c:v>
                </c:pt>
                <c:pt idx="29">
                  <c:v>15.277777777777779</c:v>
                </c:pt>
                <c:pt idx="30">
                  <c:v>8.6894586894586894</c:v>
                </c:pt>
                <c:pt idx="31">
                  <c:v>16.33986928104575</c:v>
                </c:pt>
                <c:pt idx="32">
                  <c:v>9.8181818181818183</c:v>
                </c:pt>
                <c:pt idx="33">
                  <c:v>13.672496025437201</c:v>
                </c:pt>
                <c:pt idx="34">
                  <c:v>17.362924281984334</c:v>
                </c:pt>
                <c:pt idx="35">
                  <c:v>8.8921282798833818</c:v>
                </c:pt>
                <c:pt idx="36">
                  <c:v>9.5637583892617446</c:v>
                </c:pt>
                <c:pt idx="37">
                  <c:v>10.578512396694215</c:v>
                </c:pt>
                <c:pt idx="38">
                  <c:v>6.9425901201602134</c:v>
                </c:pt>
                <c:pt idx="39">
                  <c:v>16.700610997963341</c:v>
                </c:pt>
                <c:pt idx="40">
                  <c:v>15.513392857142858</c:v>
                </c:pt>
                <c:pt idx="41">
                  <c:v>18.421052631578949</c:v>
                </c:pt>
                <c:pt idx="42">
                  <c:v>12.839879154078551</c:v>
                </c:pt>
                <c:pt idx="43">
                  <c:v>13.412816691505217</c:v>
                </c:pt>
                <c:pt idx="44">
                  <c:v>13.215859030837004</c:v>
                </c:pt>
                <c:pt idx="45">
                  <c:v>13.070866141732283</c:v>
                </c:pt>
                <c:pt idx="46">
                  <c:v>18.255578093306287</c:v>
                </c:pt>
                <c:pt idx="47">
                  <c:v>13.487133984028395</c:v>
                </c:pt>
                <c:pt idx="48">
                  <c:v>20.037807183364841</c:v>
                </c:pt>
                <c:pt idx="49">
                  <c:v>15.596330275229358</c:v>
                </c:pt>
                <c:pt idx="50">
                  <c:v>19.35483870967742</c:v>
                </c:pt>
                <c:pt idx="51">
                  <c:v>21.518987341772153</c:v>
                </c:pt>
                <c:pt idx="52">
                  <c:v>25.409836065573771</c:v>
                </c:pt>
                <c:pt idx="53">
                  <c:v>15.587044534412955</c:v>
                </c:pt>
                <c:pt idx="54">
                  <c:v>16.007194244604317</c:v>
                </c:pt>
                <c:pt idx="55">
                  <c:v>16.337522441651707</c:v>
                </c:pt>
                <c:pt idx="56">
                  <c:v>7.7062556663644601</c:v>
                </c:pt>
                <c:pt idx="57">
                  <c:v>7.5886524822695032</c:v>
                </c:pt>
                <c:pt idx="58">
                  <c:v>8.9753178758414354</c:v>
                </c:pt>
                <c:pt idx="59">
                  <c:v>13.118279569892474</c:v>
                </c:pt>
                <c:pt idx="60">
                  <c:v>15.897435897435898</c:v>
                </c:pt>
                <c:pt idx="61">
                  <c:v>9.2846270928462715</c:v>
                </c:pt>
                <c:pt idx="62">
                  <c:v>24.752475247524753</c:v>
                </c:pt>
                <c:pt idx="63">
                  <c:v>22.820512820512821</c:v>
                </c:pt>
                <c:pt idx="64">
                  <c:v>20.80808080808081</c:v>
                </c:pt>
                <c:pt idx="65">
                  <c:v>20.137299771167047</c:v>
                </c:pt>
                <c:pt idx="66">
                  <c:v>25.957446808510639</c:v>
                </c:pt>
                <c:pt idx="67">
                  <c:v>18.095238095238095</c:v>
                </c:pt>
                <c:pt idx="68">
                  <c:v>18.244803695150114</c:v>
                </c:pt>
                <c:pt idx="69">
                  <c:v>26.018808777429467</c:v>
                </c:pt>
                <c:pt idx="70">
                  <c:v>34.666666666666664</c:v>
                </c:pt>
                <c:pt idx="71">
                  <c:v>20</c:v>
                </c:pt>
                <c:pt idx="72">
                  <c:v>4.5893719806763285</c:v>
                </c:pt>
                <c:pt idx="73">
                  <c:v>10.651828298887123</c:v>
                </c:pt>
                <c:pt idx="74">
                  <c:v>12.291350531107739</c:v>
                </c:pt>
                <c:pt idx="75">
                  <c:v>10.140845070422536</c:v>
                </c:pt>
                <c:pt idx="76">
                  <c:v>10.06006006006006</c:v>
                </c:pt>
                <c:pt idx="77">
                  <c:v>9.3701996927803375</c:v>
                </c:pt>
                <c:pt idx="78">
                  <c:v>10.108864696734059</c:v>
                </c:pt>
                <c:pt idx="79">
                  <c:v>8.7719298245614041</c:v>
                </c:pt>
                <c:pt idx="80">
                  <c:v>17.223650385604113</c:v>
                </c:pt>
                <c:pt idx="81">
                  <c:v>9.9397590361445776</c:v>
                </c:pt>
                <c:pt idx="82">
                  <c:v>2.9182879377431905</c:v>
                </c:pt>
                <c:pt idx="83">
                  <c:v>15.873015873015873</c:v>
                </c:pt>
                <c:pt idx="84">
                  <c:v>12.841091492776886</c:v>
                </c:pt>
                <c:pt idx="85">
                  <c:v>10.638297872340425</c:v>
                </c:pt>
                <c:pt idx="86">
                  <c:v>10.509554140127388</c:v>
                </c:pt>
                <c:pt idx="87">
                  <c:v>19.188191881918819</c:v>
                </c:pt>
                <c:pt idx="88">
                  <c:v>13.246753246753247</c:v>
                </c:pt>
                <c:pt idx="89">
                  <c:v>17.473118279569892</c:v>
                </c:pt>
                <c:pt idx="90">
                  <c:v>14.78494623655914</c:v>
                </c:pt>
                <c:pt idx="91">
                  <c:v>11.522048364153628</c:v>
                </c:pt>
                <c:pt idx="92">
                  <c:v>12.403100775193799</c:v>
                </c:pt>
                <c:pt idx="93">
                  <c:v>7.5829383886255926</c:v>
                </c:pt>
                <c:pt idx="94">
                  <c:v>25.373134328358208</c:v>
                </c:pt>
                <c:pt idx="95">
                  <c:v>22.041763341067284</c:v>
                </c:pt>
                <c:pt idx="96">
                  <c:v>6.3777089783281733</c:v>
                </c:pt>
                <c:pt idx="97">
                  <c:v>10.202492211838006</c:v>
                </c:pt>
                <c:pt idx="98">
                  <c:v>6.239168110918544</c:v>
                </c:pt>
                <c:pt idx="99">
                  <c:v>18.297872340425531</c:v>
                </c:pt>
                <c:pt idx="100">
                  <c:v>2.4390243902439024</c:v>
                </c:pt>
                <c:pt idx="101">
                  <c:v>2.8571428571428572</c:v>
                </c:pt>
                <c:pt idx="102">
                  <c:v>3.0674846625766872</c:v>
                </c:pt>
                <c:pt idx="103">
                  <c:v>5.6603773584905657</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6-1915-4D2F-A61C-DFA9673AF133}"/>
            </c:ext>
          </c:extLst>
        </c:ser>
        <c:ser>
          <c:idx val="15"/>
          <c:order val="8"/>
          <c:tx>
            <c:strRef>
              <c:f>'Дума одномандатный'!$AQ$1</c:f>
              <c:strCache>
                <c:ptCount val="1"/>
                <c:pt idx="0">
                  <c:v>Ханафиев (Пенсионеров)</c:v>
                </c:pt>
              </c:strCache>
            </c:strRef>
          </c:tx>
          <c:spPr>
            <a:solidFill>
              <a:srgbClr val="996633">
                <a:alpha val="50196"/>
              </a:srgbClr>
            </a:solidFill>
            <a:ln w="25400">
              <a:noFill/>
            </a:ln>
            <a:effectLst/>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одномандатный'!$AQ$2:$AQ$105</c:f>
              <c:numCache>
                <c:formatCode>0.0</c:formatCode>
                <c:ptCount val="104"/>
                <c:pt idx="0">
                  <c:v>3.9285714285714284</c:v>
                </c:pt>
                <c:pt idx="1">
                  <c:v>3.0188679245283021</c:v>
                </c:pt>
                <c:pt idx="2">
                  <c:v>3.6866359447004609</c:v>
                </c:pt>
                <c:pt idx="3">
                  <c:v>4.2276422764227641</c:v>
                </c:pt>
                <c:pt idx="4">
                  <c:v>4.048582995951417</c:v>
                </c:pt>
                <c:pt idx="5">
                  <c:v>4.8648648648648649</c:v>
                </c:pt>
                <c:pt idx="6">
                  <c:v>3.5416666666666665</c:v>
                </c:pt>
                <c:pt idx="7">
                  <c:v>4.6579330422125178</c:v>
                </c:pt>
                <c:pt idx="8">
                  <c:v>3.6496350364963503</c:v>
                </c:pt>
                <c:pt idx="9">
                  <c:v>3.1315240083507305</c:v>
                </c:pt>
                <c:pt idx="10">
                  <c:v>4.6875</c:v>
                </c:pt>
                <c:pt idx="11">
                  <c:v>4.7619047619047619</c:v>
                </c:pt>
                <c:pt idx="12">
                  <c:v>2.5423728813559321</c:v>
                </c:pt>
                <c:pt idx="13">
                  <c:v>3.8532110091743119</c:v>
                </c:pt>
                <c:pt idx="14">
                  <c:v>3.4567901234567899</c:v>
                </c:pt>
                <c:pt idx="15">
                  <c:v>4.282655246252677</c:v>
                </c:pt>
                <c:pt idx="16">
                  <c:v>4.8309178743961354</c:v>
                </c:pt>
                <c:pt idx="17">
                  <c:v>2.5540275049115913</c:v>
                </c:pt>
                <c:pt idx="18">
                  <c:v>1.1904761904761905</c:v>
                </c:pt>
                <c:pt idx="19">
                  <c:v>2.936630602782071</c:v>
                </c:pt>
                <c:pt idx="20">
                  <c:v>4.6296296296296298</c:v>
                </c:pt>
                <c:pt idx="21">
                  <c:v>2.6974951830443161</c:v>
                </c:pt>
                <c:pt idx="22">
                  <c:v>5.882352941176471</c:v>
                </c:pt>
                <c:pt idx="23">
                  <c:v>3.1802120141342756</c:v>
                </c:pt>
                <c:pt idx="24">
                  <c:v>5.8524173027989823</c:v>
                </c:pt>
                <c:pt idx="25">
                  <c:v>2.7293404094010616</c:v>
                </c:pt>
                <c:pt idx="26">
                  <c:v>2.5122121423586883</c:v>
                </c:pt>
                <c:pt idx="27">
                  <c:v>2.1494370522006143</c:v>
                </c:pt>
                <c:pt idx="28">
                  <c:v>2.541436464088398</c:v>
                </c:pt>
                <c:pt idx="29">
                  <c:v>6.7129629629629628</c:v>
                </c:pt>
                <c:pt idx="30">
                  <c:v>2.2792022792022792</c:v>
                </c:pt>
                <c:pt idx="31">
                  <c:v>4.1394335511982572</c:v>
                </c:pt>
                <c:pt idx="32">
                  <c:v>1.4545454545454546</c:v>
                </c:pt>
                <c:pt idx="33">
                  <c:v>2.2257551669316373</c:v>
                </c:pt>
                <c:pt idx="34">
                  <c:v>2.7415143603133161</c:v>
                </c:pt>
                <c:pt idx="35">
                  <c:v>2.4781341107871722</c:v>
                </c:pt>
                <c:pt idx="36">
                  <c:v>1.6778523489932886</c:v>
                </c:pt>
                <c:pt idx="37">
                  <c:v>2.6446280991735538</c:v>
                </c:pt>
                <c:pt idx="38">
                  <c:v>2.8037383177570092</c:v>
                </c:pt>
                <c:pt idx="39">
                  <c:v>3.0549898167006111</c:v>
                </c:pt>
                <c:pt idx="40">
                  <c:v>2.9017857142857144</c:v>
                </c:pt>
                <c:pt idx="41">
                  <c:v>3.2163742690058479</c:v>
                </c:pt>
                <c:pt idx="42">
                  <c:v>1.5105740181268883</c:v>
                </c:pt>
                <c:pt idx="43">
                  <c:v>2.5335320417287632</c:v>
                </c:pt>
                <c:pt idx="44">
                  <c:v>2.643171806167401</c:v>
                </c:pt>
                <c:pt idx="45">
                  <c:v>2.8346456692913384</c:v>
                </c:pt>
                <c:pt idx="46">
                  <c:v>5.882352941176471</c:v>
                </c:pt>
                <c:pt idx="47">
                  <c:v>2.3070097604259097</c:v>
                </c:pt>
                <c:pt idx="48">
                  <c:v>2.6465028355387523</c:v>
                </c:pt>
                <c:pt idx="49">
                  <c:v>5.2752293577981648</c:v>
                </c:pt>
                <c:pt idx="50">
                  <c:v>4.301075268817204</c:v>
                </c:pt>
                <c:pt idx="51">
                  <c:v>3.7974683544303796</c:v>
                </c:pt>
                <c:pt idx="52">
                  <c:v>4.918032786885246</c:v>
                </c:pt>
                <c:pt idx="53">
                  <c:v>2.42914979757085</c:v>
                </c:pt>
                <c:pt idx="54">
                  <c:v>3.5971223021582732</c:v>
                </c:pt>
                <c:pt idx="55">
                  <c:v>4.6678635547576306</c:v>
                </c:pt>
                <c:pt idx="56">
                  <c:v>3.1731640979147779</c:v>
                </c:pt>
                <c:pt idx="57">
                  <c:v>2.2695035460992909</c:v>
                </c:pt>
                <c:pt idx="58">
                  <c:v>2.3186237845923712</c:v>
                </c:pt>
                <c:pt idx="59">
                  <c:v>2.5806451612903225</c:v>
                </c:pt>
                <c:pt idx="60">
                  <c:v>2.5641025641025643</c:v>
                </c:pt>
                <c:pt idx="61">
                  <c:v>2.5875190258751903</c:v>
                </c:pt>
                <c:pt idx="62">
                  <c:v>4.3564356435643568</c:v>
                </c:pt>
                <c:pt idx="63">
                  <c:v>4.8717948717948714</c:v>
                </c:pt>
                <c:pt idx="64">
                  <c:v>3.4343434343434343</c:v>
                </c:pt>
                <c:pt idx="65">
                  <c:v>2.9748283752860414</c:v>
                </c:pt>
                <c:pt idx="66">
                  <c:v>3.6170212765957448</c:v>
                </c:pt>
                <c:pt idx="67">
                  <c:v>4.0476190476190474</c:v>
                </c:pt>
                <c:pt idx="68">
                  <c:v>3.464203233256351</c:v>
                </c:pt>
                <c:pt idx="69">
                  <c:v>4.3887147335423196</c:v>
                </c:pt>
                <c:pt idx="70">
                  <c:v>5.333333333333333</c:v>
                </c:pt>
                <c:pt idx="71">
                  <c:v>3.5971223021582732</c:v>
                </c:pt>
                <c:pt idx="72">
                  <c:v>1.6908212560386473</c:v>
                </c:pt>
                <c:pt idx="73">
                  <c:v>3.9745627980922098</c:v>
                </c:pt>
                <c:pt idx="74">
                  <c:v>2.2761760242792111</c:v>
                </c:pt>
                <c:pt idx="75">
                  <c:v>1.971830985915493</c:v>
                </c:pt>
                <c:pt idx="76">
                  <c:v>1.9519519519519519</c:v>
                </c:pt>
                <c:pt idx="77">
                  <c:v>2.6113671274961598</c:v>
                </c:pt>
                <c:pt idx="78">
                  <c:v>2.0217729393468118</c:v>
                </c:pt>
                <c:pt idx="79">
                  <c:v>0.8771929824561403</c:v>
                </c:pt>
                <c:pt idx="80">
                  <c:v>2.8277634961439588</c:v>
                </c:pt>
                <c:pt idx="81">
                  <c:v>2.7108433734939759</c:v>
                </c:pt>
                <c:pt idx="82">
                  <c:v>0.58365758754863817</c:v>
                </c:pt>
                <c:pt idx="83">
                  <c:v>4.9062049062049065</c:v>
                </c:pt>
                <c:pt idx="84">
                  <c:v>3.852327447833066</c:v>
                </c:pt>
                <c:pt idx="85">
                  <c:v>4.2553191489361701</c:v>
                </c:pt>
                <c:pt idx="86">
                  <c:v>4.6178343949044587</c:v>
                </c:pt>
                <c:pt idx="87">
                  <c:v>4.7970479704797047</c:v>
                </c:pt>
                <c:pt idx="88">
                  <c:v>4.4155844155844157</c:v>
                </c:pt>
                <c:pt idx="89">
                  <c:v>4.301075268817204</c:v>
                </c:pt>
                <c:pt idx="90">
                  <c:v>3.4946236559139785</c:v>
                </c:pt>
                <c:pt idx="91">
                  <c:v>4.4096728307254622</c:v>
                </c:pt>
                <c:pt idx="92">
                  <c:v>2.7131782945736433</c:v>
                </c:pt>
                <c:pt idx="93">
                  <c:v>3.3175355450236967</c:v>
                </c:pt>
                <c:pt idx="94">
                  <c:v>4.4776119402985071</c:v>
                </c:pt>
                <c:pt idx="95">
                  <c:v>3.7122969837587005</c:v>
                </c:pt>
                <c:pt idx="96">
                  <c:v>2.1671826625386998</c:v>
                </c:pt>
                <c:pt idx="97">
                  <c:v>2.1806853582554515</c:v>
                </c:pt>
                <c:pt idx="98">
                  <c:v>0.95320623916811087</c:v>
                </c:pt>
                <c:pt idx="99">
                  <c:v>5.7446808510638299</c:v>
                </c:pt>
                <c:pt idx="100">
                  <c:v>0</c:v>
                </c:pt>
                <c:pt idx="101">
                  <c:v>2.8571428571428572</c:v>
                </c:pt>
                <c:pt idx="102">
                  <c:v>4.294478527607362</c:v>
                </c:pt>
                <c:pt idx="103">
                  <c:v>2.5157232704402515</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7-1915-4D2F-A61C-DFA9673AF133}"/>
            </c:ext>
          </c:extLst>
        </c:ser>
        <c:ser>
          <c:idx val="4"/>
          <c:order val="9"/>
          <c:tx>
            <c:strRef>
              <c:f>'Дума одномандатный'!$AS$1</c:f>
              <c:strCache>
                <c:ptCount val="1"/>
                <c:pt idx="0">
                  <c:v>Шерягин (Родина)</c:v>
                </c:pt>
              </c:strCache>
            </c:strRef>
          </c:tx>
          <c:spPr>
            <a:solidFill>
              <a:srgbClr val="9900FF">
                <a:alpha val="49804"/>
              </a:srgbClr>
            </a:solidFill>
            <a:ln w="25400">
              <a:noFill/>
            </a:ln>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одномандатный'!$AS$2:$AS$105</c:f>
              <c:numCache>
                <c:formatCode>0.0</c:formatCode>
                <c:ptCount val="104"/>
                <c:pt idx="0">
                  <c:v>1.7857142857142858</c:v>
                </c:pt>
                <c:pt idx="1">
                  <c:v>1.6981132075471699</c:v>
                </c:pt>
                <c:pt idx="2">
                  <c:v>1.3824884792626728</c:v>
                </c:pt>
                <c:pt idx="3">
                  <c:v>1.7886178861788617</c:v>
                </c:pt>
                <c:pt idx="4">
                  <c:v>2.0242914979757085</c:v>
                </c:pt>
                <c:pt idx="5">
                  <c:v>1.4414414414414414</c:v>
                </c:pt>
                <c:pt idx="6">
                  <c:v>2.0833333333333335</c:v>
                </c:pt>
                <c:pt idx="7">
                  <c:v>2.1834061135371181</c:v>
                </c:pt>
                <c:pt idx="8">
                  <c:v>3.1021897810218979</c:v>
                </c:pt>
                <c:pt idx="9">
                  <c:v>1.2526096033402923</c:v>
                </c:pt>
                <c:pt idx="10">
                  <c:v>1.7361111111111112</c:v>
                </c:pt>
                <c:pt idx="11">
                  <c:v>2.255639097744361</c:v>
                </c:pt>
                <c:pt idx="12">
                  <c:v>1.4124293785310735</c:v>
                </c:pt>
                <c:pt idx="13">
                  <c:v>2.7522935779816513</c:v>
                </c:pt>
                <c:pt idx="14">
                  <c:v>2.2222222222222223</c:v>
                </c:pt>
                <c:pt idx="15">
                  <c:v>2.5695931477516059</c:v>
                </c:pt>
                <c:pt idx="16">
                  <c:v>1.932367149758454</c:v>
                </c:pt>
                <c:pt idx="17">
                  <c:v>1.5717092337917484</c:v>
                </c:pt>
                <c:pt idx="18">
                  <c:v>0.59523809523809523</c:v>
                </c:pt>
                <c:pt idx="19">
                  <c:v>2.7820710973724885</c:v>
                </c:pt>
                <c:pt idx="20">
                  <c:v>1.2345679012345678</c:v>
                </c:pt>
                <c:pt idx="21">
                  <c:v>1.5414258188824663</c:v>
                </c:pt>
                <c:pt idx="22">
                  <c:v>0</c:v>
                </c:pt>
                <c:pt idx="23">
                  <c:v>12.367491166077739</c:v>
                </c:pt>
                <c:pt idx="24">
                  <c:v>4.5801526717557248</c:v>
                </c:pt>
                <c:pt idx="25">
                  <c:v>1.288855193328279</c:v>
                </c:pt>
                <c:pt idx="26">
                  <c:v>1.0467550593161201</c:v>
                </c:pt>
                <c:pt idx="27">
                  <c:v>1.842374616171955</c:v>
                </c:pt>
                <c:pt idx="28">
                  <c:v>2.7624309392265194</c:v>
                </c:pt>
                <c:pt idx="29">
                  <c:v>2.5462962962962963</c:v>
                </c:pt>
                <c:pt idx="30">
                  <c:v>1.8518518518518519</c:v>
                </c:pt>
                <c:pt idx="31">
                  <c:v>2.3965141612200438</c:v>
                </c:pt>
                <c:pt idx="32">
                  <c:v>2.1818181818181817</c:v>
                </c:pt>
                <c:pt idx="33">
                  <c:v>1.589825119236884</c:v>
                </c:pt>
                <c:pt idx="34">
                  <c:v>2.3498694516971281</c:v>
                </c:pt>
                <c:pt idx="35">
                  <c:v>1.1661807580174928</c:v>
                </c:pt>
                <c:pt idx="36">
                  <c:v>0.83892617449664431</c:v>
                </c:pt>
                <c:pt idx="37">
                  <c:v>1.1570247933884297</c:v>
                </c:pt>
                <c:pt idx="38">
                  <c:v>1.0680907877169559</c:v>
                </c:pt>
                <c:pt idx="39">
                  <c:v>1.8329938900203666</c:v>
                </c:pt>
                <c:pt idx="40">
                  <c:v>1.8973214285714286</c:v>
                </c:pt>
                <c:pt idx="41">
                  <c:v>2.9239766081871346</c:v>
                </c:pt>
                <c:pt idx="42">
                  <c:v>1.0574018126888218</c:v>
                </c:pt>
                <c:pt idx="43">
                  <c:v>1.3412816691505216</c:v>
                </c:pt>
                <c:pt idx="44">
                  <c:v>4.4052863436123344</c:v>
                </c:pt>
                <c:pt idx="45">
                  <c:v>1.5748031496062993</c:v>
                </c:pt>
                <c:pt idx="46">
                  <c:v>4.056795131845842</c:v>
                </c:pt>
                <c:pt idx="47">
                  <c:v>1.064773735581189</c:v>
                </c:pt>
                <c:pt idx="48">
                  <c:v>1.890359168241966</c:v>
                </c:pt>
                <c:pt idx="49">
                  <c:v>1.834862385321101</c:v>
                </c:pt>
                <c:pt idx="50">
                  <c:v>2.150537634408602</c:v>
                </c:pt>
                <c:pt idx="51">
                  <c:v>0</c:v>
                </c:pt>
                <c:pt idx="52">
                  <c:v>1.639344262295082</c:v>
                </c:pt>
                <c:pt idx="53">
                  <c:v>3.4412955465587043</c:v>
                </c:pt>
                <c:pt idx="54">
                  <c:v>3.2374100719424459</c:v>
                </c:pt>
                <c:pt idx="55">
                  <c:v>3.2315978456014363</c:v>
                </c:pt>
                <c:pt idx="56">
                  <c:v>2.1758839528558478</c:v>
                </c:pt>
                <c:pt idx="57">
                  <c:v>1.2765957446808511</c:v>
                </c:pt>
                <c:pt idx="58">
                  <c:v>2.3934181002243831</c:v>
                </c:pt>
                <c:pt idx="59">
                  <c:v>2.150537634408602</c:v>
                </c:pt>
                <c:pt idx="60">
                  <c:v>2.3076923076923075</c:v>
                </c:pt>
                <c:pt idx="61">
                  <c:v>2.1308980213089801</c:v>
                </c:pt>
                <c:pt idx="62">
                  <c:v>2.9702970297029703</c:v>
                </c:pt>
                <c:pt idx="63">
                  <c:v>1.5384615384615385</c:v>
                </c:pt>
                <c:pt idx="64">
                  <c:v>1.4141414141414141</c:v>
                </c:pt>
                <c:pt idx="65">
                  <c:v>2.9748283752860414</c:v>
                </c:pt>
                <c:pt idx="66">
                  <c:v>2.5531914893617023</c:v>
                </c:pt>
                <c:pt idx="67">
                  <c:v>3.0952380952380953</c:v>
                </c:pt>
                <c:pt idx="68">
                  <c:v>1.6166281755196306</c:v>
                </c:pt>
                <c:pt idx="69">
                  <c:v>3.4482758620689653</c:v>
                </c:pt>
                <c:pt idx="70">
                  <c:v>2</c:v>
                </c:pt>
                <c:pt idx="71">
                  <c:v>1.5827338129496402</c:v>
                </c:pt>
                <c:pt idx="72">
                  <c:v>0.48309178743961351</c:v>
                </c:pt>
                <c:pt idx="73">
                  <c:v>1.589825119236884</c:v>
                </c:pt>
                <c:pt idx="74">
                  <c:v>1.2139605462822458</c:v>
                </c:pt>
                <c:pt idx="75">
                  <c:v>0.84507042253521125</c:v>
                </c:pt>
                <c:pt idx="76">
                  <c:v>1.0510510510510511</c:v>
                </c:pt>
                <c:pt idx="77">
                  <c:v>1.075268817204301</c:v>
                </c:pt>
                <c:pt idx="78">
                  <c:v>0.77760497667185069</c:v>
                </c:pt>
                <c:pt idx="79">
                  <c:v>0.8771929824561403</c:v>
                </c:pt>
                <c:pt idx="80">
                  <c:v>1.5424164524421593</c:v>
                </c:pt>
                <c:pt idx="81">
                  <c:v>0.60240963855421692</c:v>
                </c:pt>
                <c:pt idx="82">
                  <c:v>0.38910505836575876</c:v>
                </c:pt>
                <c:pt idx="83">
                  <c:v>2.5974025974025974</c:v>
                </c:pt>
                <c:pt idx="84">
                  <c:v>2.7287319422150884</c:v>
                </c:pt>
                <c:pt idx="85">
                  <c:v>1.0638297872340425</c:v>
                </c:pt>
                <c:pt idx="86">
                  <c:v>3.6624203821656049</c:v>
                </c:pt>
                <c:pt idx="87">
                  <c:v>2.5830258302583027</c:v>
                </c:pt>
                <c:pt idx="88">
                  <c:v>2.3376623376623376</c:v>
                </c:pt>
                <c:pt idx="89">
                  <c:v>2.6881720430107525</c:v>
                </c:pt>
                <c:pt idx="90">
                  <c:v>2.4193548387096775</c:v>
                </c:pt>
                <c:pt idx="91">
                  <c:v>2.275960170697013</c:v>
                </c:pt>
                <c:pt idx="92">
                  <c:v>1.9379844961240309</c:v>
                </c:pt>
                <c:pt idx="93">
                  <c:v>1.6587677725118484</c:v>
                </c:pt>
                <c:pt idx="94">
                  <c:v>1.7412935323383085</c:v>
                </c:pt>
                <c:pt idx="95">
                  <c:v>1.8561484918793503</c:v>
                </c:pt>
                <c:pt idx="96">
                  <c:v>2.0433436532507741</c:v>
                </c:pt>
                <c:pt idx="97">
                  <c:v>1.6355140186915889</c:v>
                </c:pt>
                <c:pt idx="98">
                  <c:v>0.69324090121317161</c:v>
                </c:pt>
                <c:pt idx="99">
                  <c:v>3.1914893617021276</c:v>
                </c:pt>
                <c:pt idx="100">
                  <c:v>0</c:v>
                </c:pt>
                <c:pt idx="101">
                  <c:v>1.1428571428571428</c:v>
                </c:pt>
                <c:pt idx="102">
                  <c:v>1.2269938650306749</c:v>
                </c:pt>
                <c:pt idx="103">
                  <c:v>1.2578616352201257</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8-1915-4D2F-A61C-DFA9673AF133}"/>
            </c:ext>
          </c:extLst>
        </c:ser>
        <c:ser>
          <c:idx val="0"/>
          <c:order val="10"/>
          <c:tx>
            <c:strRef>
              <c:f>'Дума одномандатный'!$V$1</c:f>
              <c:strCache>
                <c:ptCount val="1"/>
                <c:pt idx="0">
                  <c:v>Недействительных</c:v>
                </c:pt>
              </c:strCache>
            </c:strRef>
          </c:tx>
          <c:spPr>
            <a:noFill/>
            <a:ln w="6350">
              <a:solidFill>
                <a:srgbClr val="000000"/>
              </a:solidFill>
            </a:ln>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одномандатный'!$V$2:$V$105</c:f>
              <c:numCache>
                <c:formatCode>0.0</c:formatCode>
                <c:ptCount val="104"/>
                <c:pt idx="0">
                  <c:v>7.5</c:v>
                </c:pt>
                <c:pt idx="1">
                  <c:v>11.509433962264151</c:v>
                </c:pt>
                <c:pt idx="2">
                  <c:v>5.5299539170506913</c:v>
                </c:pt>
                <c:pt idx="3">
                  <c:v>7.8048780487804876</c:v>
                </c:pt>
                <c:pt idx="4">
                  <c:v>4.048582995951417</c:v>
                </c:pt>
                <c:pt idx="5">
                  <c:v>9.7297297297297298</c:v>
                </c:pt>
                <c:pt idx="6">
                  <c:v>6.041666666666667</c:v>
                </c:pt>
                <c:pt idx="7">
                  <c:v>8.2969432314410483</c:v>
                </c:pt>
                <c:pt idx="8">
                  <c:v>7.8467153284671536</c:v>
                </c:pt>
                <c:pt idx="9">
                  <c:v>21.085594989561585</c:v>
                </c:pt>
                <c:pt idx="10">
                  <c:v>6.9444444444444446</c:v>
                </c:pt>
                <c:pt idx="11">
                  <c:v>7.7694235588972429</c:v>
                </c:pt>
                <c:pt idx="12">
                  <c:v>6.7796610169491522</c:v>
                </c:pt>
                <c:pt idx="13">
                  <c:v>7.8899082568807337</c:v>
                </c:pt>
                <c:pt idx="14">
                  <c:v>6.1728395061728394</c:v>
                </c:pt>
                <c:pt idx="15">
                  <c:v>11.13490364025696</c:v>
                </c:pt>
                <c:pt idx="16">
                  <c:v>6.5217391304347823</c:v>
                </c:pt>
                <c:pt idx="17">
                  <c:v>7.269155206286837</c:v>
                </c:pt>
                <c:pt idx="18">
                  <c:v>5.9523809523809526</c:v>
                </c:pt>
                <c:pt idx="19">
                  <c:v>7.5734157650695515</c:v>
                </c:pt>
                <c:pt idx="20">
                  <c:v>7.2530864197530862</c:v>
                </c:pt>
                <c:pt idx="21">
                  <c:v>8.2851637764932562</c:v>
                </c:pt>
                <c:pt idx="22">
                  <c:v>0</c:v>
                </c:pt>
                <c:pt idx="23">
                  <c:v>26.85512367491166</c:v>
                </c:pt>
                <c:pt idx="24">
                  <c:v>9.4147582697201013</c:v>
                </c:pt>
                <c:pt idx="25">
                  <c:v>6.1410159211523885</c:v>
                </c:pt>
                <c:pt idx="26">
                  <c:v>2.4424284717376135</c:v>
                </c:pt>
                <c:pt idx="27">
                  <c:v>5.4247697031729789</c:v>
                </c:pt>
                <c:pt idx="28">
                  <c:v>8.6187845303867405</c:v>
                </c:pt>
                <c:pt idx="29">
                  <c:v>7.6388888888888893</c:v>
                </c:pt>
                <c:pt idx="30">
                  <c:v>4.9857549857549861</c:v>
                </c:pt>
                <c:pt idx="31">
                  <c:v>7.4074074074074074</c:v>
                </c:pt>
                <c:pt idx="32">
                  <c:v>1.8181818181818181</c:v>
                </c:pt>
                <c:pt idx="33">
                  <c:v>4.1335453100158981</c:v>
                </c:pt>
                <c:pt idx="34">
                  <c:v>3.3942558746736293</c:v>
                </c:pt>
                <c:pt idx="35">
                  <c:v>3.935860058309038</c:v>
                </c:pt>
                <c:pt idx="36">
                  <c:v>4.026845637583893</c:v>
                </c:pt>
                <c:pt idx="37">
                  <c:v>5.2892561983471076</c:v>
                </c:pt>
                <c:pt idx="38">
                  <c:v>22.296395193591454</c:v>
                </c:pt>
                <c:pt idx="39">
                  <c:v>1.629327902240326</c:v>
                </c:pt>
                <c:pt idx="40">
                  <c:v>2.5669642857142856</c:v>
                </c:pt>
                <c:pt idx="41">
                  <c:v>8.4795321637426895</c:v>
                </c:pt>
                <c:pt idx="42">
                  <c:v>4.2296072507552873</c:v>
                </c:pt>
                <c:pt idx="43">
                  <c:v>5.0670640834575265</c:v>
                </c:pt>
                <c:pt idx="44">
                  <c:v>4.8458149779735686</c:v>
                </c:pt>
                <c:pt idx="45">
                  <c:v>4.409448818897638</c:v>
                </c:pt>
                <c:pt idx="46">
                  <c:v>12.778904665314402</c:v>
                </c:pt>
                <c:pt idx="47">
                  <c:v>3.7267080745341614</c:v>
                </c:pt>
                <c:pt idx="48">
                  <c:v>8.8846880907372405</c:v>
                </c:pt>
                <c:pt idx="49">
                  <c:v>7.7981651376146788</c:v>
                </c:pt>
                <c:pt idx="50">
                  <c:v>9.67741935483871</c:v>
                </c:pt>
                <c:pt idx="51">
                  <c:v>3.7974683544303796</c:v>
                </c:pt>
                <c:pt idx="52">
                  <c:v>10.655737704918034</c:v>
                </c:pt>
                <c:pt idx="53">
                  <c:v>4.8582995951417001</c:v>
                </c:pt>
                <c:pt idx="54">
                  <c:v>4.3165467625899279</c:v>
                </c:pt>
                <c:pt idx="55">
                  <c:v>5.0269299820466786</c:v>
                </c:pt>
                <c:pt idx="56">
                  <c:v>4.4424297370806887</c:v>
                </c:pt>
                <c:pt idx="57">
                  <c:v>2.978723404255319</c:v>
                </c:pt>
                <c:pt idx="58">
                  <c:v>5.2356020942408374</c:v>
                </c:pt>
                <c:pt idx="59">
                  <c:v>8.6021505376344081</c:v>
                </c:pt>
                <c:pt idx="60">
                  <c:v>10.256410256410257</c:v>
                </c:pt>
                <c:pt idx="61">
                  <c:v>7.762557077625571</c:v>
                </c:pt>
                <c:pt idx="62">
                  <c:v>8.5148514851485153</c:v>
                </c:pt>
                <c:pt idx="63">
                  <c:v>8.9743589743589745</c:v>
                </c:pt>
                <c:pt idx="64">
                  <c:v>6.4646464646464645</c:v>
                </c:pt>
                <c:pt idx="65">
                  <c:v>5.9496567505720828</c:v>
                </c:pt>
                <c:pt idx="66">
                  <c:v>5.1063829787234045</c:v>
                </c:pt>
                <c:pt idx="67">
                  <c:v>7.3809523809523814</c:v>
                </c:pt>
                <c:pt idx="68">
                  <c:v>4.1570438799076213</c:v>
                </c:pt>
                <c:pt idx="69">
                  <c:v>2.8213166144200628</c:v>
                </c:pt>
                <c:pt idx="70">
                  <c:v>4</c:v>
                </c:pt>
                <c:pt idx="71">
                  <c:v>6.7625899280575537</c:v>
                </c:pt>
                <c:pt idx="72">
                  <c:v>6.7632850241545892</c:v>
                </c:pt>
                <c:pt idx="73">
                  <c:v>8.7440381558028619</c:v>
                </c:pt>
                <c:pt idx="74">
                  <c:v>5.3110773899848258</c:v>
                </c:pt>
                <c:pt idx="75">
                  <c:v>5.070422535211268</c:v>
                </c:pt>
                <c:pt idx="76">
                  <c:v>0.90090090090090091</c:v>
                </c:pt>
                <c:pt idx="77">
                  <c:v>9.3701996927803375</c:v>
                </c:pt>
                <c:pt idx="78">
                  <c:v>6.8429237947122861</c:v>
                </c:pt>
                <c:pt idx="79">
                  <c:v>7.8947368421052628</c:v>
                </c:pt>
                <c:pt idx="80">
                  <c:v>11.568123393316196</c:v>
                </c:pt>
                <c:pt idx="81">
                  <c:v>7.831325301204819</c:v>
                </c:pt>
                <c:pt idx="82">
                  <c:v>3.1128404669260701</c:v>
                </c:pt>
                <c:pt idx="83">
                  <c:v>7.3593073593073592</c:v>
                </c:pt>
                <c:pt idx="84">
                  <c:v>8.1861958266452657</c:v>
                </c:pt>
                <c:pt idx="85">
                  <c:v>3.5460992907801416</c:v>
                </c:pt>
                <c:pt idx="86">
                  <c:v>6.0509554140127388</c:v>
                </c:pt>
                <c:pt idx="87">
                  <c:v>7.5645756457564577</c:v>
                </c:pt>
                <c:pt idx="88">
                  <c:v>8.5714285714285712</c:v>
                </c:pt>
                <c:pt idx="89">
                  <c:v>3.4946236559139785</c:v>
                </c:pt>
                <c:pt idx="90">
                  <c:v>9.1397849462365599</c:v>
                </c:pt>
                <c:pt idx="91">
                  <c:v>4.1251778093883358</c:v>
                </c:pt>
                <c:pt idx="92">
                  <c:v>9.6899224806201545</c:v>
                </c:pt>
                <c:pt idx="93">
                  <c:v>5.6872037914691944</c:v>
                </c:pt>
                <c:pt idx="94">
                  <c:v>7.4626865671641793</c:v>
                </c:pt>
                <c:pt idx="95">
                  <c:v>6.2645011600928076</c:v>
                </c:pt>
                <c:pt idx="96">
                  <c:v>7.8018575851393193</c:v>
                </c:pt>
                <c:pt idx="97">
                  <c:v>6.2305295950155761</c:v>
                </c:pt>
                <c:pt idx="98">
                  <c:v>0.77989601386481799</c:v>
                </c:pt>
                <c:pt idx="99">
                  <c:v>5.1063829787234045</c:v>
                </c:pt>
                <c:pt idx="100">
                  <c:v>0</c:v>
                </c:pt>
                <c:pt idx="101">
                  <c:v>14.285714285714286</c:v>
                </c:pt>
                <c:pt idx="102">
                  <c:v>1.8404907975460123</c:v>
                </c:pt>
                <c:pt idx="103">
                  <c:v>8.1761006289308185</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0-8E4C-44BC-8654-729D3219AB2C}"/>
            </c:ext>
          </c:extLst>
        </c:ser>
        <c:ser>
          <c:idx val="1"/>
          <c:order val="11"/>
          <c:tx>
            <c:strRef>
              <c:f>'Дума одномандатный'!$T$1</c:f>
              <c:strCache>
                <c:ptCount val="1"/>
                <c:pt idx="0">
                  <c:v>Надомка</c:v>
                </c:pt>
              </c:strCache>
            </c:strRef>
          </c:tx>
          <c:spPr>
            <a:noFill/>
            <a:ln w="6350">
              <a:solidFill>
                <a:srgbClr val="000000"/>
              </a:solidFill>
              <a:prstDash val="sysDot"/>
            </a:ln>
          </c:spPr>
          <c:invertIfNegative val="0"/>
          <c:xVal>
            <c:numRef>
              <c:f>'Дума одномандатный'!$N$2:$N$105</c:f>
              <c:numCache>
                <c:formatCode>0.0</c:formatCode>
                <c:ptCount val="104"/>
                <c:pt idx="0">
                  <c:v>40</c:v>
                </c:pt>
                <c:pt idx="1">
                  <c:v>39.700374531835209</c:v>
                </c:pt>
                <c:pt idx="2">
                  <c:v>39.85307621671258</c:v>
                </c:pt>
                <c:pt idx="3">
                  <c:v>40.755467196819083</c:v>
                </c:pt>
                <c:pt idx="4">
                  <c:v>33.446174678402166</c:v>
                </c:pt>
                <c:pt idx="5">
                  <c:v>42.398777692895337</c:v>
                </c:pt>
                <c:pt idx="6">
                  <c:v>43.21653189577718</c:v>
                </c:pt>
                <c:pt idx="7">
                  <c:v>39.872315728380734</c:v>
                </c:pt>
                <c:pt idx="8">
                  <c:v>39.003558718861207</c:v>
                </c:pt>
                <c:pt idx="9">
                  <c:v>36.069277108433738</c:v>
                </c:pt>
                <c:pt idx="10">
                  <c:v>40.620592383638929</c:v>
                </c:pt>
                <c:pt idx="11">
                  <c:v>38.550724637681157</c:v>
                </c:pt>
                <c:pt idx="12">
                  <c:v>36.683937823834199</c:v>
                </c:pt>
                <c:pt idx="13">
                  <c:v>36.994609164420488</c:v>
                </c:pt>
                <c:pt idx="14">
                  <c:v>33.471074380165291</c:v>
                </c:pt>
                <c:pt idx="15">
                  <c:v>33.028169014084504</c:v>
                </c:pt>
                <c:pt idx="16">
                  <c:v>37.330928764652839</c:v>
                </c:pt>
                <c:pt idx="17">
                  <c:v>46.654445462878094</c:v>
                </c:pt>
                <c:pt idx="18">
                  <c:v>47.592067988668553</c:v>
                </c:pt>
                <c:pt idx="19">
                  <c:v>43.451981195433177</c:v>
                </c:pt>
                <c:pt idx="20">
                  <c:v>40.883280757097793</c:v>
                </c:pt>
                <c:pt idx="21">
                  <c:v>38.049853372434015</c:v>
                </c:pt>
                <c:pt idx="22">
                  <c:v>40.594541910331387</c:v>
                </c:pt>
                <c:pt idx="23">
                  <c:v>32.678983833718242</c:v>
                </c:pt>
                <c:pt idx="24">
                  <c:v>35.362578334825429</c:v>
                </c:pt>
                <c:pt idx="25">
                  <c:v>46.313202247191015</c:v>
                </c:pt>
                <c:pt idx="26">
                  <c:v>63.351016799292658</c:v>
                </c:pt>
                <c:pt idx="27">
                  <c:v>54.368391764051196</c:v>
                </c:pt>
                <c:pt idx="28">
                  <c:v>50</c:v>
                </c:pt>
                <c:pt idx="29">
                  <c:v>36.090225563909776</c:v>
                </c:pt>
                <c:pt idx="30">
                  <c:v>67.402784445511287</c:v>
                </c:pt>
                <c:pt idx="31">
                  <c:v>41.463414634146339</c:v>
                </c:pt>
                <c:pt idx="32">
                  <c:v>61.797752808988761</c:v>
                </c:pt>
                <c:pt idx="33">
                  <c:v>48.384615384615387</c:v>
                </c:pt>
                <c:pt idx="34">
                  <c:v>34.8023625624716</c:v>
                </c:pt>
                <c:pt idx="35">
                  <c:v>65.395614871306009</c:v>
                </c:pt>
                <c:pt idx="36">
                  <c:v>58.488714425907752</c:v>
                </c:pt>
                <c:pt idx="37">
                  <c:v>55</c:v>
                </c:pt>
                <c:pt idx="38">
                  <c:v>77.628865979381445</c:v>
                </c:pt>
                <c:pt idx="39">
                  <c:v>33.722527472527474</c:v>
                </c:pt>
                <c:pt idx="40">
                  <c:v>44.444444444444443</c:v>
                </c:pt>
                <c:pt idx="41">
                  <c:v>32.916265640038496</c:v>
                </c:pt>
                <c:pt idx="42">
                  <c:v>58.532272325375772</c:v>
                </c:pt>
                <c:pt idx="43">
                  <c:v>38.629821531375939</c:v>
                </c:pt>
                <c:pt idx="44">
                  <c:v>39.512619669277633</c:v>
                </c:pt>
                <c:pt idx="45">
                  <c:v>42.992552471225459</c:v>
                </c:pt>
                <c:pt idx="46">
                  <c:v>40.476190476190474</c:v>
                </c:pt>
                <c:pt idx="47">
                  <c:v>35.373509102322664</c:v>
                </c:pt>
                <c:pt idx="48">
                  <c:v>41.117145073700542</c:v>
                </c:pt>
                <c:pt idx="49">
                  <c:v>34.630659253375697</c:v>
                </c:pt>
                <c:pt idx="50">
                  <c:v>37.95918367346939</c:v>
                </c:pt>
                <c:pt idx="51">
                  <c:v>41.145833333333336</c:v>
                </c:pt>
                <c:pt idx="52">
                  <c:v>36.746987951807228</c:v>
                </c:pt>
                <c:pt idx="53">
                  <c:v>32.414698162729657</c:v>
                </c:pt>
                <c:pt idx="54">
                  <c:v>35.700575815738965</c:v>
                </c:pt>
                <c:pt idx="55">
                  <c:v>45.618345618345622</c:v>
                </c:pt>
                <c:pt idx="56">
                  <c:v>56.8263781555899</c:v>
                </c:pt>
                <c:pt idx="57">
                  <c:v>65.70363466915191</c:v>
                </c:pt>
                <c:pt idx="58">
                  <c:v>80.203959208158366</c:v>
                </c:pt>
                <c:pt idx="59">
                  <c:v>32.76955602536998</c:v>
                </c:pt>
                <c:pt idx="60">
                  <c:v>35.262206148282097</c:v>
                </c:pt>
                <c:pt idx="61">
                  <c:v>100</c:v>
                </c:pt>
                <c:pt idx="62">
                  <c:v>35.538353272343421</c:v>
                </c:pt>
                <c:pt idx="63">
                  <c:v>36.72316384180791</c:v>
                </c:pt>
                <c:pt idx="64">
                  <c:v>35.331905781584581</c:v>
                </c:pt>
                <c:pt idx="65">
                  <c:v>39.298561151079134</c:v>
                </c:pt>
                <c:pt idx="66">
                  <c:v>37.720706260032102</c:v>
                </c:pt>
                <c:pt idx="67">
                  <c:v>35.083333333333336</c:v>
                </c:pt>
                <c:pt idx="68">
                  <c:v>34.121355397951142</c:v>
                </c:pt>
                <c:pt idx="69">
                  <c:v>40.176322418136017</c:v>
                </c:pt>
                <c:pt idx="70">
                  <c:v>27.027027027027028</c:v>
                </c:pt>
                <c:pt idx="71">
                  <c:v>34.236453201970441</c:v>
                </c:pt>
                <c:pt idx="72">
                  <c:v>62.91793313069909</c:v>
                </c:pt>
                <c:pt idx="73">
                  <c:v>50.159489633173841</c:v>
                </c:pt>
                <c:pt idx="74">
                  <c:v>51.404056162246491</c:v>
                </c:pt>
                <c:pt idx="75">
                  <c:v>45.924967658473477</c:v>
                </c:pt>
                <c:pt idx="76">
                  <c:v>53.194888178913736</c:v>
                </c:pt>
                <c:pt idx="77">
                  <c:v>55.451448040885857</c:v>
                </c:pt>
                <c:pt idx="78">
                  <c:v>56.953055801594331</c:v>
                </c:pt>
                <c:pt idx="79">
                  <c:v>73.39055793991416</c:v>
                </c:pt>
                <c:pt idx="80">
                  <c:v>52.202937249666221</c:v>
                </c:pt>
                <c:pt idx="81">
                  <c:v>49.924812030075188</c:v>
                </c:pt>
                <c:pt idx="82">
                  <c:v>47.069597069597073</c:v>
                </c:pt>
                <c:pt idx="83">
                  <c:v>33.237410071942449</c:v>
                </c:pt>
                <c:pt idx="84">
                  <c:v>49.326999208234362</c:v>
                </c:pt>
                <c:pt idx="85">
                  <c:v>48.453608247422679</c:v>
                </c:pt>
                <c:pt idx="86">
                  <c:v>52.029826014913006</c:v>
                </c:pt>
                <c:pt idx="87">
                  <c:v>35.529715762273902</c:v>
                </c:pt>
                <c:pt idx="88">
                  <c:v>40.062434963579605</c:v>
                </c:pt>
                <c:pt idx="89">
                  <c:v>32.920353982300888</c:v>
                </c:pt>
                <c:pt idx="90">
                  <c:v>38.549222797927463</c:v>
                </c:pt>
                <c:pt idx="91">
                  <c:v>55.15625</c:v>
                </c:pt>
                <c:pt idx="92">
                  <c:v>39.329268292682926</c:v>
                </c:pt>
                <c:pt idx="93">
                  <c:v>45.770065075921906</c:v>
                </c:pt>
                <c:pt idx="94">
                  <c:v>23.372093023255815</c:v>
                </c:pt>
                <c:pt idx="95">
                  <c:v>36.712095400340715</c:v>
                </c:pt>
                <c:pt idx="96">
                  <c:v>47.668240850059028</c:v>
                </c:pt>
                <c:pt idx="97">
                  <c:v>60.594620103822557</c:v>
                </c:pt>
                <c:pt idx="98">
                  <c:v>57.128712871287128</c:v>
                </c:pt>
                <c:pt idx="99">
                  <c:v>40.482342807924205</c:v>
                </c:pt>
                <c:pt idx="100">
                  <c:v>100</c:v>
                </c:pt>
                <c:pt idx="101">
                  <c:v>90.206185567010309</c:v>
                </c:pt>
                <c:pt idx="102">
                  <c:v>96.449704142011839</c:v>
                </c:pt>
                <c:pt idx="103">
                  <c:v>72.272727272727266</c:v>
                </c:pt>
              </c:numCache>
            </c:numRef>
          </c:xVal>
          <c:yVal>
            <c:numRef>
              <c:f>'Дума одномандатный'!$T$2:$T$105</c:f>
              <c:numCache>
                <c:formatCode>0.0</c:formatCode>
                <c:ptCount val="104"/>
                <c:pt idx="0">
                  <c:v>2.8571428571428572</c:v>
                </c:pt>
                <c:pt idx="1">
                  <c:v>3.7735849056603774</c:v>
                </c:pt>
                <c:pt idx="2">
                  <c:v>1.3824884792626728</c:v>
                </c:pt>
                <c:pt idx="3">
                  <c:v>1.6260162601626016</c:v>
                </c:pt>
                <c:pt idx="4">
                  <c:v>0.80971659919028338</c:v>
                </c:pt>
                <c:pt idx="5">
                  <c:v>1.0810810810810811</c:v>
                </c:pt>
                <c:pt idx="6">
                  <c:v>2.9166666666666665</c:v>
                </c:pt>
                <c:pt idx="7">
                  <c:v>4.2212518195050945</c:v>
                </c:pt>
                <c:pt idx="8">
                  <c:v>4.3795620437956204</c:v>
                </c:pt>
                <c:pt idx="9">
                  <c:v>3.5490605427974948</c:v>
                </c:pt>
                <c:pt idx="10">
                  <c:v>2.6041666666666665</c:v>
                </c:pt>
                <c:pt idx="11">
                  <c:v>2.5062656641604009</c:v>
                </c:pt>
                <c:pt idx="12">
                  <c:v>7.3446327683615822</c:v>
                </c:pt>
                <c:pt idx="13">
                  <c:v>1.6513761467889909</c:v>
                </c:pt>
                <c:pt idx="14">
                  <c:v>0.49382716049382713</c:v>
                </c:pt>
                <c:pt idx="15">
                  <c:v>1.7130620985010707</c:v>
                </c:pt>
                <c:pt idx="16">
                  <c:v>8.454106280193237</c:v>
                </c:pt>
                <c:pt idx="17">
                  <c:v>6.6797642436149314</c:v>
                </c:pt>
                <c:pt idx="18">
                  <c:v>30.357142857142858</c:v>
                </c:pt>
                <c:pt idx="19">
                  <c:v>2.009273570324575</c:v>
                </c:pt>
                <c:pt idx="20">
                  <c:v>0.46296296296296297</c:v>
                </c:pt>
                <c:pt idx="21">
                  <c:v>6.5510597302504818</c:v>
                </c:pt>
                <c:pt idx="22">
                  <c:v>1.8007202881152462</c:v>
                </c:pt>
                <c:pt idx="23">
                  <c:v>2.8268551236749118</c:v>
                </c:pt>
                <c:pt idx="24">
                  <c:v>3.5623409669211195</c:v>
                </c:pt>
                <c:pt idx="25">
                  <c:v>0</c:v>
                </c:pt>
                <c:pt idx="26">
                  <c:v>55.757152826238659</c:v>
                </c:pt>
                <c:pt idx="27">
                  <c:v>57.625383828045038</c:v>
                </c:pt>
                <c:pt idx="28">
                  <c:v>37.900552486187848</c:v>
                </c:pt>
                <c:pt idx="29">
                  <c:v>1.8518518518518519</c:v>
                </c:pt>
                <c:pt idx="30">
                  <c:v>17.806267806267805</c:v>
                </c:pt>
                <c:pt idx="31">
                  <c:v>0.4357298474945534</c:v>
                </c:pt>
                <c:pt idx="32">
                  <c:v>1.4545454545454546</c:v>
                </c:pt>
                <c:pt idx="33">
                  <c:v>9.5389507154213042</c:v>
                </c:pt>
                <c:pt idx="34">
                  <c:v>27.676240208877285</c:v>
                </c:pt>
                <c:pt idx="35">
                  <c:v>13.848396501457726</c:v>
                </c:pt>
                <c:pt idx="36">
                  <c:v>1.0067114093959733</c:v>
                </c:pt>
                <c:pt idx="37">
                  <c:v>2.4793388429752068</c:v>
                </c:pt>
                <c:pt idx="38">
                  <c:v>0.13351134846461948</c:v>
                </c:pt>
                <c:pt idx="39">
                  <c:v>6.7209775967413439</c:v>
                </c:pt>
                <c:pt idx="40">
                  <c:v>1.3392857142857142</c:v>
                </c:pt>
                <c:pt idx="41">
                  <c:v>2.0467836257309941</c:v>
                </c:pt>
                <c:pt idx="42">
                  <c:v>2.7190332326283988</c:v>
                </c:pt>
                <c:pt idx="43">
                  <c:v>1.4903129657228018</c:v>
                </c:pt>
                <c:pt idx="44">
                  <c:v>2.4229074889867843</c:v>
                </c:pt>
                <c:pt idx="45">
                  <c:v>38.582677165354333</c:v>
                </c:pt>
                <c:pt idx="46">
                  <c:v>14.198782961460447</c:v>
                </c:pt>
                <c:pt idx="47">
                  <c:v>0.6211180124223602</c:v>
                </c:pt>
                <c:pt idx="48">
                  <c:v>6.2381852551984878</c:v>
                </c:pt>
                <c:pt idx="49">
                  <c:v>9.862385321100918</c:v>
                </c:pt>
                <c:pt idx="50">
                  <c:v>29.032258064516128</c:v>
                </c:pt>
                <c:pt idx="51">
                  <c:v>16.455696202531644</c:v>
                </c:pt>
                <c:pt idx="52">
                  <c:v>13.934426229508198</c:v>
                </c:pt>
                <c:pt idx="53">
                  <c:v>1.8218623481781377</c:v>
                </c:pt>
                <c:pt idx="54">
                  <c:v>2.3381294964028778</c:v>
                </c:pt>
                <c:pt idx="55">
                  <c:v>1.4362657091561939</c:v>
                </c:pt>
                <c:pt idx="56">
                  <c:v>0.27198549410698097</c:v>
                </c:pt>
                <c:pt idx="57">
                  <c:v>0.63829787234042556</c:v>
                </c:pt>
                <c:pt idx="58">
                  <c:v>0.74794315632011965</c:v>
                </c:pt>
                <c:pt idx="59">
                  <c:v>4.5161290322580649</c:v>
                </c:pt>
                <c:pt idx="60">
                  <c:v>16.410256410256409</c:v>
                </c:pt>
                <c:pt idx="61">
                  <c:v>0.60882800608828003</c:v>
                </c:pt>
                <c:pt idx="62">
                  <c:v>2.7722772277227721</c:v>
                </c:pt>
                <c:pt idx="63">
                  <c:v>3.3333333333333335</c:v>
                </c:pt>
                <c:pt idx="64">
                  <c:v>0.80808080808080807</c:v>
                </c:pt>
                <c:pt idx="65">
                  <c:v>0.91533180778032042</c:v>
                </c:pt>
                <c:pt idx="66">
                  <c:v>2.3404255319148937</c:v>
                </c:pt>
                <c:pt idx="67">
                  <c:v>2.3809523809523809</c:v>
                </c:pt>
                <c:pt idx="68">
                  <c:v>1.1547344110854503</c:v>
                </c:pt>
                <c:pt idx="69">
                  <c:v>0.62695924764890287</c:v>
                </c:pt>
                <c:pt idx="70">
                  <c:v>2.6666666666666665</c:v>
                </c:pt>
                <c:pt idx="71">
                  <c:v>8.6330935251798557</c:v>
                </c:pt>
                <c:pt idx="72">
                  <c:v>29.710144927536231</c:v>
                </c:pt>
                <c:pt idx="73">
                  <c:v>2.5437201907790143</c:v>
                </c:pt>
                <c:pt idx="74">
                  <c:v>6.6767830045523517</c:v>
                </c:pt>
                <c:pt idx="75">
                  <c:v>46.478873239436616</c:v>
                </c:pt>
                <c:pt idx="76">
                  <c:v>20.870870870870871</c:v>
                </c:pt>
                <c:pt idx="77">
                  <c:v>3.8402457757296466</c:v>
                </c:pt>
                <c:pt idx="78">
                  <c:v>31.259720062208398</c:v>
                </c:pt>
                <c:pt idx="79">
                  <c:v>48.245614035087719</c:v>
                </c:pt>
                <c:pt idx="80">
                  <c:v>15.167095115681233</c:v>
                </c:pt>
                <c:pt idx="81">
                  <c:v>16.867469879518072</c:v>
                </c:pt>
                <c:pt idx="82">
                  <c:v>14.007782101167315</c:v>
                </c:pt>
                <c:pt idx="83">
                  <c:v>13.997113997113997</c:v>
                </c:pt>
                <c:pt idx="84">
                  <c:v>7.8651685393258424</c:v>
                </c:pt>
                <c:pt idx="85">
                  <c:v>46.099290780141843</c:v>
                </c:pt>
                <c:pt idx="86">
                  <c:v>27.070063694267517</c:v>
                </c:pt>
                <c:pt idx="87">
                  <c:v>2.2140221402214024</c:v>
                </c:pt>
                <c:pt idx="88">
                  <c:v>2.8571428571428572</c:v>
                </c:pt>
                <c:pt idx="89">
                  <c:v>2.6881720430107525</c:v>
                </c:pt>
                <c:pt idx="90">
                  <c:v>2.956989247311828</c:v>
                </c:pt>
                <c:pt idx="91">
                  <c:v>0</c:v>
                </c:pt>
                <c:pt idx="92">
                  <c:v>4.4573643410852712</c:v>
                </c:pt>
                <c:pt idx="93">
                  <c:v>43.838862559241704</c:v>
                </c:pt>
                <c:pt idx="94">
                  <c:v>3.2338308457711444</c:v>
                </c:pt>
                <c:pt idx="95">
                  <c:v>13.225058004640371</c:v>
                </c:pt>
                <c:pt idx="96">
                  <c:v>0</c:v>
                </c:pt>
                <c:pt idx="97">
                  <c:v>1.0903426791277258</c:v>
                </c:pt>
                <c:pt idx="98">
                  <c:v>0</c:v>
                </c:pt>
                <c:pt idx="99">
                  <c:v>2.1276595744680851</c:v>
                </c:pt>
                <c:pt idx="100">
                  <c:v>0</c:v>
                </c:pt>
                <c:pt idx="101">
                  <c:v>0</c:v>
                </c:pt>
                <c:pt idx="102">
                  <c:v>25.766871165644172</c:v>
                </c:pt>
                <c:pt idx="103">
                  <c:v>0</c:v>
                </c:pt>
              </c:numCache>
            </c:numRef>
          </c:yVal>
          <c:bubbleSize>
            <c:numRef>
              <c:f>'Дума одномандатный'!$I$2:$I$105</c:f>
              <c:numCache>
                <c:formatCode>General</c:formatCode>
                <c:ptCount val="104"/>
                <c:pt idx="0">
                  <c:v>700</c:v>
                </c:pt>
                <c:pt idx="1">
                  <c:v>1335</c:v>
                </c:pt>
                <c:pt idx="2">
                  <c:v>1089</c:v>
                </c:pt>
                <c:pt idx="3">
                  <c:v>1509</c:v>
                </c:pt>
                <c:pt idx="4">
                  <c:v>1477</c:v>
                </c:pt>
                <c:pt idx="5">
                  <c:v>1309</c:v>
                </c:pt>
                <c:pt idx="6">
                  <c:v>1113</c:v>
                </c:pt>
                <c:pt idx="7">
                  <c:v>1723</c:v>
                </c:pt>
                <c:pt idx="8">
                  <c:v>1405</c:v>
                </c:pt>
                <c:pt idx="9">
                  <c:v>1328</c:v>
                </c:pt>
                <c:pt idx="10">
                  <c:v>1418</c:v>
                </c:pt>
                <c:pt idx="11">
                  <c:v>1035</c:v>
                </c:pt>
                <c:pt idx="12">
                  <c:v>965</c:v>
                </c:pt>
                <c:pt idx="13">
                  <c:v>1484</c:v>
                </c:pt>
                <c:pt idx="14">
                  <c:v>1210</c:v>
                </c:pt>
                <c:pt idx="15">
                  <c:v>1420</c:v>
                </c:pt>
                <c:pt idx="16">
                  <c:v>1109</c:v>
                </c:pt>
                <c:pt idx="17">
                  <c:v>1091</c:v>
                </c:pt>
                <c:pt idx="18">
                  <c:v>353</c:v>
                </c:pt>
                <c:pt idx="19">
                  <c:v>1489</c:v>
                </c:pt>
                <c:pt idx="20">
                  <c:v>1585</c:v>
                </c:pt>
                <c:pt idx="21">
                  <c:v>1364</c:v>
                </c:pt>
                <c:pt idx="22">
                  <c:v>2052</c:v>
                </c:pt>
                <c:pt idx="23">
                  <c:v>866</c:v>
                </c:pt>
                <c:pt idx="24">
                  <c:v>1117</c:v>
                </c:pt>
                <c:pt idx="25">
                  <c:v>2848</c:v>
                </c:pt>
                <c:pt idx="26">
                  <c:v>2262</c:v>
                </c:pt>
                <c:pt idx="27">
                  <c:v>1797</c:v>
                </c:pt>
                <c:pt idx="28">
                  <c:v>1810</c:v>
                </c:pt>
                <c:pt idx="29">
                  <c:v>1197</c:v>
                </c:pt>
                <c:pt idx="30">
                  <c:v>2083</c:v>
                </c:pt>
                <c:pt idx="31">
                  <c:v>1107</c:v>
                </c:pt>
                <c:pt idx="32">
                  <c:v>445</c:v>
                </c:pt>
                <c:pt idx="33">
                  <c:v>1300</c:v>
                </c:pt>
                <c:pt idx="34">
                  <c:v>2201</c:v>
                </c:pt>
                <c:pt idx="35">
                  <c:v>1049</c:v>
                </c:pt>
                <c:pt idx="36">
                  <c:v>1019</c:v>
                </c:pt>
                <c:pt idx="37">
                  <c:v>1100</c:v>
                </c:pt>
                <c:pt idx="38">
                  <c:v>970</c:v>
                </c:pt>
                <c:pt idx="39">
                  <c:v>1456</c:v>
                </c:pt>
                <c:pt idx="40">
                  <c:v>2016</c:v>
                </c:pt>
                <c:pt idx="41">
                  <c:v>1039</c:v>
                </c:pt>
                <c:pt idx="42">
                  <c:v>1131</c:v>
                </c:pt>
                <c:pt idx="43">
                  <c:v>1737</c:v>
                </c:pt>
                <c:pt idx="44">
                  <c:v>1149</c:v>
                </c:pt>
                <c:pt idx="45">
                  <c:v>1477</c:v>
                </c:pt>
                <c:pt idx="46">
                  <c:v>1218</c:v>
                </c:pt>
                <c:pt idx="47">
                  <c:v>3186</c:v>
                </c:pt>
                <c:pt idx="48">
                  <c:v>1289</c:v>
                </c:pt>
                <c:pt idx="49">
                  <c:v>1259</c:v>
                </c:pt>
                <c:pt idx="50">
                  <c:v>245</c:v>
                </c:pt>
                <c:pt idx="51">
                  <c:v>192</c:v>
                </c:pt>
                <c:pt idx="52">
                  <c:v>332</c:v>
                </c:pt>
                <c:pt idx="53">
                  <c:v>1524</c:v>
                </c:pt>
                <c:pt idx="54">
                  <c:v>1563</c:v>
                </c:pt>
                <c:pt idx="55">
                  <c:v>1221</c:v>
                </c:pt>
                <c:pt idx="56">
                  <c:v>1941</c:v>
                </c:pt>
                <c:pt idx="57">
                  <c:v>2146</c:v>
                </c:pt>
                <c:pt idx="58">
                  <c:v>1667</c:v>
                </c:pt>
                <c:pt idx="59">
                  <c:v>1419</c:v>
                </c:pt>
                <c:pt idx="60">
                  <c:v>1106</c:v>
                </c:pt>
                <c:pt idx="61">
                  <c:v>657</c:v>
                </c:pt>
                <c:pt idx="62">
                  <c:v>1421</c:v>
                </c:pt>
                <c:pt idx="63">
                  <c:v>1062</c:v>
                </c:pt>
                <c:pt idx="64">
                  <c:v>1401</c:v>
                </c:pt>
                <c:pt idx="65">
                  <c:v>1112</c:v>
                </c:pt>
                <c:pt idx="66">
                  <c:v>1246</c:v>
                </c:pt>
                <c:pt idx="67">
                  <c:v>1200</c:v>
                </c:pt>
                <c:pt idx="68">
                  <c:v>1269</c:v>
                </c:pt>
                <c:pt idx="69">
                  <c:v>794</c:v>
                </c:pt>
                <c:pt idx="70">
                  <c:v>555</c:v>
                </c:pt>
                <c:pt idx="71">
                  <c:v>2030</c:v>
                </c:pt>
                <c:pt idx="72">
                  <c:v>658</c:v>
                </c:pt>
                <c:pt idx="73">
                  <c:v>1254</c:v>
                </c:pt>
                <c:pt idx="74">
                  <c:v>1282</c:v>
                </c:pt>
                <c:pt idx="75">
                  <c:v>773</c:v>
                </c:pt>
                <c:pt idx="76">
                  <c:v>1252</c:v>
                </c:pt>
                <c:pt idx="77">
                  <c:v>1174</c:v>
                </c:pt>
                <c:pt idx="78">
                  <c:v>1129</c:v>
                </c:pt>
                <c:pt idx="79">
                  <c:v>466</c:v>
                </c:pt>
                <c:pt idx="80">
                  <c:v>749</c:v>
                </c:pt>
                <c:pt idx="81">
                  <c:v>665</c:v>
                </c:pt>
                <c:pt idx="82">
                  <c:v>1092</c:v>
                </c:pt>
                <c:pt idx="83">
                  <c:v>2085</c:v>
                </c:pt>
                <c:pt idx="84">
                  <c:v>1263</c:v>
                </c:pt>
                <c:pt idx="85">
                  <c:v>582</c:v>
                </c:pt>
                <c:pt idx="86">
                  <c:v>1207</c:v>
                </c:pt>
                <c:pt idx="87">
                  <c:v>1548</c:v>
                </c:pt>
                <c:pt idx="88">
                  <c:v>961</c:v>
                </c:pt>
                <c:pt idx="89">
                  <c:v>1130</c:v>
                </c:pt>
                <c:pt idx="90">
                  <c:v>965</c:v>
                </c:pt>
                <c:pt idx="91">
                  <c:v>1280</c:v>
                </c:pt>
                <c:pt idx="92">
                  <c:v>1312</c:v>
                </c:pt>
                <c:pt idx="93">
                  <c:v>922</c:v>
                </c:pt>
                <c:pt idx="94">
                  <c:v>1720</c:v>
                </c:pt>
                <c:pt idx="95">
                  <c:v>1174</c:v>
                </c:pt>
                <c:pt idx="96">
                  <c:v>3388</c:v>
                </c:pt>
                <c:pt idx="97">
                  <c:v>2119</c:v>
                </c:pt>
                <c:pt idx="98">
                  <c:v>2020</c:v>
                </c:pt>
                <c:pt idx="99">
                  <c:v>1161</c:v>
                </c:pt>
                <c:pt idx="100">
                  <c:v>41</c:v>
                </c:pt>
                <c:pt idx="101">
                  <c:v>194</c:v>
                </c:pt>
                <c:pt idx="102">
                  <c:v>169</c:v>
                </c:pt>
                <c:pt idx="103">
                  <c:v>220</c:v>
                </c:pt>
              </c:numCache>
            </c:numRef>
          </c:bubbleSize>
          <c:bubble3D val="0"/>
          <c:extLst>
            <c:ext xmlns:c16="http://schemas.microsoft.com/office/drawing/2014/chart" uri="{C3380CC4-5D6E-409C-BE32-E72D297353CC}">
              <c16:uniqueId val="{00000001-8E4C-44BC-8654-729D3219AB2C}"/>
            </c:ext>
          </c:extLst>
        </c:ser>
        <c:ser>
          <c:idx val="3"/>
          <c:order val="12"/>
          <c:tx>
            <c:strRef>
              <c:f>'Дума одномандатный'!$AB$123</c:f>
              <c:strCache>
                <c:ptCount val="1"/>
                <c:pt idx="0">
                  <c:v>Вручную задано: Майданов (ЕР) без фальсификаций (%)</c:v>
                </c:pt>
              </c:strCache>
            </c:strRef>
          </c:tx>
          <c:spPr>
            <a:ln w="25400">
              <a:noFill/>
            </a:ln>
          </c:spPr>
          <c:invertIfNegative val="0"/>
          <c:errBars>
            <c:errDir val="x"/>
            <c:errBarType val="minus"/>
            <c:errValType val="percentage"/>
            <c:noEndCap val="1"/>
            <c:val val="100"/>
            <c:spPr>
              <a:ln>
                <a:solidFill>
                  <a:srgbClr val="0000FF">
                    <a:alpha val="50000"/>
                  </a:srgbClr>
                </a:solidFill>
              </a:ln>
            </c:spPr>
          </c:errBars>
          <c:xVal>
            <c:numLit>
              <c:formatCode>General</c:formatCode>
              <c:ptCount val="1"/>
              <c:pt idx="0">
                <c:v>100</c:v>
              </c:pt>
            </c:numLit>
          </c:xVal>
          <c:yVal>
            <c:numRef>
              <c:f>'Дума одномандатный'!$AB$124</c:f>
              <c:numCache>
                <c:formatCode>0.0</c:formatCode>
                <c:ptCount val="1"/>
                <c:pt idx="0">
                  <c:v>34</c:v>
                </c:pt>
              </c:numCache>
            </c:numRef>
          </c:yVal>
          <c:bubbleSize>
            <c:numLit>
              <c:formatCode>General</c:formatCode>
              <c:ptCount val="10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numLit>
          </c:bubbleSize>
          <c:bubble3D val="0"/>
          <c:extLst>
            <c:ext xmlns:c16="http://schemas.microsoft.com/office/drawing/2014/chart" uri="{C3380CC4-5D6E-409C-BE32-E72D297353CC}">
              <c16:uniqueId val="{00000000-951E-4838-9D9F-A5519B3C1854}"/>
            </c:ext>
          </c:extLst>
        </c:ser>
        <c:ser>
          <c:idx val="5"/>
          <c:order val="13"/>
          <c:tx>
            <c:strRef>
              <c:f>'Дума одномандатный'!$AB$142</c:f>
              <c:strCache>
                <c:ptCount val="1"/>
                <c:pt idx="0">
                  <c:v>Макс. размер кружка</c:v>
                </c:pt>
              </c:strCache>
            </c:strRef>
          </c:tx>
          <c:spPr>
            <a:solidFill>
              <a:srgbClr val="000000">
                <a:alpha val="50000"/>
              </a:srgbClr>
            </a:solidFill>
            <a:ln w="25400">
              <a:noFill/>
            </a:ln>
          </c:spPr>
          <c:invertIfNegative val="0"/>
          <c:xVal>
            <c:numLit>
              <c:formatCode>General</c:formatCode>
              <c:ptCount val="1"/>
              <c:pt idx="0">
                <c:v>-10</c:v>
              </c:pt>
            </c:numLit>
          </c:xVal>
          <c:yVal>
            <c:numLit>
              <c:formatCode>General</c:formatCode>
              <c:ptCount val="1"/>
              <c:pt idx="0">
                <c:v>-10</c:v>
              </c:pt>
            </c:numLit>
          </c:yVal>
          <c:bubbleSize>
            <c:numRef>
              <c:f>'Дума одномандатный'!$AB$143</c:f>
              <c:numCache>
                <c:formatCode>General</c:formatCode>
                <c:ptCount val="1"/>
                <c:pt idx="0">
                  <c:v>3388</c:v>
                </c:pt>
              </c:numCache>
            </c:numRef>
          </c:bubbleSize>
          <c:bubble3D val="0"/>
          <c:extLst>
            <c:ext xmlns:c16="http://schemas.microsoft.com/office/drawing/2014/chart" uri="{C3380CC4-5D6E-409C-BE32-E72D297353CC}">
              <c16:uniqueId val="{00000000-A99E-47A6-A50F-8DB9E2C4D2C2}"/>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39235860409146"/>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1971491228070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4.2540713999197753E-2"/>
          <c:y val="0.11734371345029242"/>
          <c:w val="0.17598154833533894"/>
          <c:h val="0.39575482456140348"/>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928574124396142E-2"/>
          <c:y val="2.9282905247058105E-2"/>
          <c:w val="0.95261901191169107"/>
          <c:h val="0.92797105263157886"/>
        </c:manualLayout>
      </c:layout>
      <c:bubbleChart>
        <c:varyColors val="0"/>
        <c:ser>
          <c:idx val="8"/>
          <c:order val="0"/>
          <c:tx>
            <c:strRef>
              <c:f>'Мособлдума одномандатный'!$AA$1</c:f>
              <c:strCache>
                <c:ptCount val="1"/>
                <c:pt idx="0">
                  <c:v>Вавилов (КПРФ)</c:v>
                </c:pt>
              </c:strCache>
            </c:strRef>
          </c:tx>
          <c:spPr>
            <a:solidFill>
              <a:srgbClr val="FF0000">
                <a:alpha val="49804"/>
              </a:srgbClr>
            </a:solidFill>
            <a:ln w="25400">
              <a:noFill/>
            </a:ln>
          </c:spPr>
          <c:invertIfNegative val="0"/>
          <c:xVal>
            <c:numRef>
              <c:f>'Мособлдума одномандатный'!$N$2:$N$105</c:f>
              <c:numCache>
                <c:formatCode>0.0</c:formatCode>
                <c:ptCount val="104"/>
                <c:pt idx="0">
                  <c:v>39.212827988338191</c:v>
                </c:pt>
                <c:pt idx="1">
                  <c:v>38.041853512705529</c:v>
                </c:pt>
                <c:pt idx="2">
                  <c:v>39.427516158818101</c:v>
                </c:pt>
                <c:pt idx="3">
                  <c:v>39.854111405835546</c:v>
                </c:pt>
                <c:pt idx="4">
                  <c:v>33.264177040110653</c:v>
                </c:pt>
                <c:pt idx="5">
                  <c:v>42.690513219284604</c:v>
                </c:pt>
                <c:pt idx="6">
                  <c:v>43.348416289592762</c:v>
                </c:pt>
                <c:pt idx="7">
                  <c:v>38.736102984201288</c:v>
                </c:pt>
                <c:pt idx="8">
                  <c:v>39.352517985611513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39.505041246562783</c:v>
                </c:pt>
                <c:pt idx="18">
                  <c:v>47.592067988668553</c:v>
                </c:pt>
                <c:pt idx="19">
                  <c:v>42.895263509006007</c:v>
                </c:pt>
                <c:pt idx="20">
                  <c:v>40.27690371302706</c:v>
                </c:pt>
                <c:pt idx="21">
                  <c:v>37.29060451565914</c:v>
                </c:pt>
                <c:pt idx="22">
                  <c:v>100</c:v>
                </c:pt>
                <c:pt idx="23">
                  <c:v>32.906976744186046</c:v>
                </c:pt>
                <c:pt idx="24">
                  <c:v>34.60144927536232</c:v>
                </c:pt>
                <c:pt idx="25">
                  <c:v>46.629213483146067</c:v>
                </c:pt>
                <c:pt idx="26">
                  <c:v>63.160211267605632</c:v>
                </c:pt>
                <c:pt idx="27">
                  <c:v>54.368391764051196</c:v>
                </c:pt>
                <c:pt idx="28">
                  <c:v>51.082504388531305</c:v>
                </c:pt>
                <c:pt idx="29">
                  <c:v>35.150528885272578</c:v>
                </c:pt>
                <c:pt idx="30">
                  <c:v>68.105637379380397</c:v>
                </c:pt>
                <c:pt idx="31">
                  <c:v>40.2972027972028</c:v>
                </c:pt>
                <c:pt idx="32">
                  <c:v>61.283185840707965</c:v>
                </c:pt>
                <c:pt idx="33">
                  <c:v>47.104247104247101</c:v>
                </c:pt>
                <c:pt idx="34">
                  <c:v>34.255898366606168</c:v>
                </c:pt>
                <c:pt idx="35">
                  <c:v>64.880382775119614</c:v>
                </c:pt>
                <c:pt idx="36">
                  <c:v>59.744094488188978</c:v>
                </c:pt>
                <c:pt idx="37">
                  <c:v>53.713768115942031</c:v>
                </c:pt>
                <c:pt idx="38">
                  <c:v>76.283367556468178</c:v>
                </c:pt>
                <c:pt idx="39">
                  <c:v>34.335664335664333</c:v>
                </c:pt>
                <c:pt idx="40">
                  <c:v>42.814814814814817</c:v>
                </c:pt>
                <c:pt idx="41">
                  <c:v>31.17134559535334</c:v>
                </c:pt>
                <c:pt idx="42">
                  <c:v>59.070598748882929</c:v>
                </c:pt>
                <c:pt idx="43">
                  <c:v>37.272727272727273</c:v>
                </c:pt>
                <c:pt idx="44">
                  <c:v>29.840142095914743</c:v>
                </c:pt>
                <c:pt idx="45">
                  <c:v>42.738589211618255</c:v>
                </c:pt>
                <c:pt idx="46">
                  <c:v>39.080459770114942</c:v>
                </c:pt>
                <c:pt idx="47">
                  <c:v>35.185185185185183</c:v>
                </c:pt>
                <c:pt idx="48">
                  <c:v>41.260973663208297</c:v>
                </c:pt>
                <c:pt idx="49">
                  <c:v>34.392374900714856</c:v>
                </c:pt>
                <c:pt idx="50">
                  <c:v>35.802469135802468</c:v>
                </c:pt>
                <c:pt idx="51">
                  <c:v>40.697674418604649</c:v>
                </c:pt>
                <c:pt idx="52">
                  <c:v>36.526946107784433</c:v>
                </c:pt>
                <c:pt idx="53">
                  <c:v>30.076142131979694</c:v>
                </c:pt>
                <c:pt idx="54">
                  <c:v>34.696406443618336</c:v>
                </c:pt>
                <c:pt idx="55">
                  <c:v>41.666666666666664</c:v>
                </c:pt>
                <c:pt idx="56">
                  <c:v>56.774858320453376</c:v>
                </c:pt>
                <c:pt idx="57">
                  <c:v>62.721294891249364</c:v>
                </c:pt>
                <c:pt idx="58">
                  <c:v>79.737335834896811</c:v>
                </c:pt>
                <c:pt idx="59">
                  <c:v>24.555984555984555</c:v>
                </c:pt>
                <c:pt idx="60">
                  <c:v>34.666666666666664</c:v>
                </c:pt>
                <c:pt idx="61">
                  <c:v>100</c:v>
                </c:pt>
                <c:pt idx="62">
                  <c:v>34.801136363636367</c:v>
                </c:pt>
                <c:pt idx="63">
                  <c:v>36.672967863894137</c:v>
                </c:pt>
                <c:pt idx="64">
                  <c:v>34.423897581792318</c:v>
                </c:pt>
                <c:pt idx="65">
                  <c:v>40.018399264029441</c:v>
                </c:pt>
                <c:pt idx="66">
                  <c:v>37.031125299281726</c:v>
                </c:pt>
                <c:pt idx="67">
                  <c:v>34.912718204488776</c:v>
                </c:pt>
                <c:pt idx="68">
                  <c:v>33.490937746256897</c:v>
                </c:pt>
                <c:pt idx="69">
                  <c:v>39.552238805970148</c:v>
                </c:pt>
                <c:pt idx="70">
                  <c:v>26.846846846846848</c:v>
                </c:pt>
                <c:pt idx="71">
                  <c:v>32.449680903289149</c:v>
                </c:pt>
                <c:pt idx="72">
                  <c:v>59.467918622848202</c:v>
                </c:pt>
                <c:pt idx="73">
                  <c:v>49.481245011971268</c:v>
                </c:pt>
                <c:pt idx="74">
                  <c:v>51.4937106918239</c:v>
                </c:pt>
                <c:pt idx="75">
                  <c:v>45.822102425876011</c:v>
                </c:pt>
                <c:pt idx="76">
                  <c:v>54.390243902439025</c:v>
                </c:pt>
                <c:pt idx="77">
                  <c:v>54.835924006908463</c:v>
                </c:pt>
                <c:pt idx="78">
                  <c:v>58.416742493175612</c:v>
                </c:pt>
                <c:pt idx="79">
                  <c:v>73.318872017353584</c:v>
                </c:pt>
                <c:pt idx="80">
                  <c:v>52.941176470588232</c:v>
                </c:pt>
                <c:pt idx="81">
                  <c:v>48.114630467571644</c:v>
                </c:pt>
                <c:pt idx="82">
                  <c:v>45.288197621225983</c:v>
                </c:pt>
                <c:pt idx="83">
                  <c:v>32.228626320845343</c:v>
                </c:pt>
                <c:pt idx="84">
                  <c:v>48.853754940711461</c:v>
                </c:pt>
                <c:pt idx="85">
                  <c:v>48.4375</c:v>
                </c:pt>
                <c:pt idx="86">
                  <c:v>51.324503311258276</c:v>
                </c:pt>
                <c:pt idx="87">
                  <c:v>35.529715762273902</c:v>
                </c:pt>
                <c:pt idx="88">
                  <c:v>38.928939237899073</c:v>
                </c:pt>
                <c:pt idx="89">
                  <c:v>32.480141218005294</c:v>
                </c:pt>
                <c:pt idx="90">
                  <c:v>38.397502601456814</c:v>
                </c:pt>
                <c:pt idx="91">
                  <c:v>54.0625</c:v>
                </c:pt>
                <c:pt idx="92">
                  <c:v>39.892390468870097</c:v>
                </c:pt>
                <c:pt idx="93">
                  <c:v>46.120218579234972</c:v>
                </c:pt>
                <c:pt idx="94">
                  <c:v>23.147616312464102</c:v>
                </c:pt>
                <c:pt idx="95">
                  <c:v>36.426116838487971</c:v>
                </c:pt>
                <c:pt idx="96">
                  <c:v>47.011356843992829</c:v>
                </c:pt>
                <c:pt idx="97">
                  <c:v>64.613831398283693</c:v>
                </c:pt>
                <c:pt idx="98">
                  <c:v>55.188199389623598</c:v>
                </c:pt>
                <c:pt idx="99">
                  <c:v>39.53885567890692</c:v>
                </c:pt>
                <c:pt idx="100">
                  <c:v>100</c:v>
                </c:pt>
                <c:pt idx="101">
                  <c:v>80.11363636363636</c:v>
                </c:pt>
                <c:pt idx="102">
                  <c:v>96.460176991150448</c:v>
                </c:pt>
                <c:pt idx="103">
                  <c:v>90.123456790123456</c:v>
                </c:pt>
              </c:numCache>
            </c:numRef>
          </c:xVal>
          <c:yVal>
            <c:numRef>
              <c:f>'Мособлдума одномандатный'!$AA$2:$AA$105</c:f>
              <c:numCache>
                <c:formatCode>0.0</c:formatCode>
                <c:ptCount val="104"/>
                <c:pt idx="0">
                  <c:v>30.111524163568774</c:v>
                </c:pt>
                <c:pt idx="1">
                  <c:v>21.414538310412574</c:v>
                </c:pt>
                <c:pt idx="2">
                  <c:v>11.007025761124122</c:v>
                </c:pt>
                <c:pt idx="3">
                  <c:v>21.297836938435939</c:v>
                </c:pt>
                <c:pt idx="4">
                  <c:v>15.176715176715177</c:v>
                </c:pt>
                <c:pt idx="5">
                  <c:v>19.561243144424132</c:v>
                </c:pt>
                <c:pt idx="6">
                  <c:v>26.359832635983263</c:v>
                </c:pt>
                <c:pt idx="7">
                  <c:v>24.018126888217523</c:v>
                </c:pt>
                <c:pt idx="8">
                  <c:v>26.325411334552104</c:v>
                </c:pt>
                <c:pt idx="9">
                  <c:v>17.021276595744681</c:v>
                </c:pt>
                <c:pt idx="10">
                  <c:v>19.512195121951219</c:v>
                </c:pt>
                <c:pt idx="11">
                  <c:v>24.873096446700508</c:v>
                </c:pt>
                <c:pt idx="12">
                  <c:v>24.928366762177649</c:v>
                </c:pt>
                <c:pt idx="13">
                  <c:v>20.265151515151516</c:v>
                </c:pt>
                <c:pt idx="14">
                  <c:v>20.259740259740258</c:v>
                </c:pt>
                <c:pt idx="15">
                  <c:v>20.217391304347824</c:v>
                </c:pt>
                <c:pt idx="16">
                  <c:v>23.471882640586799</c:v>
                </c:pt>
                <c:pt idx="17">
                  <c:v>21.577726218097446</c:v>
                </c:pt>
                <c:pt idx="18">
                  <c:v>26.19047619047619</c:v>
                </c:pt>
                <c:pt idx="19">
                  <c:v>23.017107309486782</c:v>
                </c:pt>
                <c:pt idx="20">
                  <c:v>19.6875</c:v>
                </c:pt>
                <c:pt idx="21">
                  <c:v>19.921875</c:v>
                </c:pt>
                <c:pt idx="22">
                  <c:v>6.3647490820073438</c:v>
                </c:pt>
                <c:pt idx="23">
                  <c:v>1.0600706713780919</c:v>
                </c:pt>
                <c:pt idx="24">
                  <c:v>23.560209424083769</c:v>
                </c:pt>
                <c:pt idx="25">
                  <c:v>21.460843373493976</c:v>
                </c:pt>
                <c:pt idx="26">
                  <c:v>9.4076655052264808</c:v>
                </c:pt>
                <c:pt idx="27">
                  <c:v>8.904810644831116</c:v>
                </c:pt>
                <c:pt idx="28">
                  <c:v>16.151202749140893</c:v>
                </c:pt>
                <c:pt idx="29">
                  <c:v>22.685185185185187</c:v>
                </c:pt>
                <c:pt idx="30">
                  <c:v>14.093959731543624</c:v>
                </c:pt>
                <c:pt idx="31">
                  <c:v>25.596529284164859</c:v>
                </c:pt>
                <c:pt idx="32">
                  <c:v>7.581227436823105</c:v>
                </c:pt>
                <c:pt idx="33">
                  <c:v>15.573770491803279</c:v>
                </c:pt>
                <c:pt idx="34">
                  <c:v>19.602649006622517</c:v>
                </c:pt>
                <c:pt idx="35">
                  <c:v>11.946902654867257</c:v>
                </c:pt>
                <c:pt idx="36">
                  <c:v>13.179571663920923</c:v>
                </c:pt>
                <c:pt idx="37">
                  <c:v>12.816188870151771</c:v>
                </c:pt>
                <c:pt idx="38">
                  <c:v>10.377358490566039</c:v>
                </c:pt>
                <c:pt idx="39">
                  <c:v>19.75560081466395</c:v>
                </c:pt>
                <c:pt idx="40">
                  <c:v>14.41753171856978</c:v>
                </c:pt>
                <c:pt idx="41">
                  <c:v>26.086956521739129</c:v>
                </c:pt>
                <c:pt idx="42">
                  <c:v>14.674735249621785</c:v>
                </c:pt>
                <c:pt idx="43">
                  <c:v>16.463414634146343</c:v>
                </c:pt>
                <c:pt idx="44">
                  <c:v>13.69047619047619</c:v>
                </c:pt>
                <c:pt idx="45">
                  <c:v>18.932038834951456</c:v>
                </c:pt>
                <c:pt idx="46">
                  <c:v>22.478991596638654</c:v>
                </c:pt>
                <c:pt idx="47">
                  <c:v>16.146297948260482</c:v>
                </c:pt>
                <c:pt idx="48">
                  <c:v>27.466150870406189</c:v>
                </c:pt>
                <c:pt idx="49">
                  <c:v>27.020785219399539</c:v>
                </c:pt>
                <c:pt idx="50">
                  <c:v>35.632183908045974</c:v>
                </c:pt>
                <c:pt idx="51">
                  <c:v>32.857142857142854</c:v>
                </c:pt>
                <c:pt idx="52">
                  <c:v>31.147540983606557</c:v>
                </c:pt>
                <c:pt idx="53">
                  <c:v>20.042194092827003</c:v>
                </c:pt>
                <c:pt idx="54">
                  <c:v>21.964285714285715</c:v>
                </c:pt>
                <c:pt idx="55">
                  <c:v>19.35483870967742</c:v>
                </c:pt>
                <c:pt idx="56">
                  <c:v>14.882032667876588</c:v>
                </c:pt>
                <c:pt idx="57">
                  <c:v>20.080645161290324</c:v>
                </c:pt>
                <c:pt idx="58">
                  <c:v>14.980392156862745</c:v>
                </c:pt>
                <c:pt idx="59">
                  <c:v>27.987421383647799</c:v>
                </c:pt>
                <c:pt idx="60">
                  <c:v>25.128205128205128</c:v>
                </c:pt>
                <c:pt idx="61">
                  <c:v>13.755795981452859</c:v>
                </c:pt>
                <c:pt idx="62">
                  <c:v>23.673469387755102</c:v>
                </c:pt>
                <c:pt idx="63">
                  <c:v>22.164948453608247</c:v>
                </c:pt>
                <c:pt idx="64">
                  <c:v>24.793388429752067</c:v>
                </c:pt>
                <c:pt idx="65">
                  <c:v>19.770114942528735</c:v>
                </c:pt>
                <c:pt idx="66">
                  <c:v>26.293103448275861</c:v>
                </c:pt>
                <c:pt idx="67">
                  <c:v>28.333333333333332</c:v>
                </c:pt>
                <c:pt idx="68">
                  <c:v>20</c:v>
                </c:pt>
                <c:pt idx="69">
                  <c:v>19.811320754716981</c:v>
                </c:pt>
                <c:pt idx="70">
                  <c:v>41.61073825503356</c:v>
                </c:pt>
                <c:pt idx="71">
                  <c:v>20.757575757575758</c:v>
                </c:pt>
                <c:pt idx="72">
                  <c:v>12.105263157894736</c:v>
                </c:pt>
                <c:pt idx="73">
                  <c:v>16.774193548387096</c:v>
                </c:pt>
                <c:pt idx="74">
                  <c:v>18.778625954198475</c:v>
                </c:pt>
                <c:pt idx="75">
                  <c:v>18.823529411764707</c:v>
                </c:pt>
                <c:pt idx="76">
                  <c:v>14.648729446935725</c:v>
                </c:pt>
                <c:pt idx="77">
                  <c:v>20.472440944881889</c:v>
                </c:pt>
                <c:pt idx="78">
                  <c:v>17.445482866043612</c:v>
                </c:pt>
                <c:pt idx="79">
                  <c:v>16.568047337278106</c:v>
                </c:pt>
                <c:pt idx="80">
                  <c:v>25.454545454545453</c:v>
                </c:pt>
                <c:pt idx="81">
                  <c:v>18.181818181818183</c:v>
                </c:pt>
                <c:pt idx="82">
                  <c:v>10.505050505050505</c:v>
                </c:pt>
                <c:pt idx="83">
                  <c:v>27.272727272727273</c:v>
                </c:pt>
                <c:pt idx="84">
                  <c:v>19.642857142857142</c:v>
                </c:pt>
                <c:pt idx="85">
                  <c:v>18.996415770609318</c:v>
                </c:pt>
                <c:pt idx="86">
                  <c:v>17.419354838709676</c:v>
                </c:pt>
                <c:pt idx="87">
                  <c:v>22.324723247232473</c:v>
                </c:pt>
                <c:pt idx="88">
                  <c:v>22.222222222222221</c:v>
                </c:pt>
                <c:pt idx="89">
                  <c:v>22.554347826086957</c:v>
                </c:pt>
                <c:pt idx="90">
                  <c:v>25.543478260869566</c:v>
                </c:pt>
                <c:pt idx="91">
                  <c:v>14.595375722543352</c:v>
                </c:pt>
                <c:pt idx="92">
                  <c:v>21.965317919075144</c:v>
                </c:pt>
                <c:pt idx="93">
                  <c:v>13.507109004739336</c:v>
                </c:pt>
                <c:pt idx="94">
                  <c:v>22.8287841191067</c:v>
                </c:pt>
                <c:pt idx="95">
                  <c:v>29.009433962264151</c:v>
                </c:pt>
                <c:pt idx="96">
                  <c:v>14.17673235855054</c:v>
                </c:pt>
                <c:pt idx="97">
                  <c:v>19.6875</c:v>
                </c:pt>
                <c:pt idx="98">
                  <c:v>12.073732718894009</c:v>
                </c:pt>
                <c:pt idx="99">
                  <c:v>21.814254859611232</c:v>
                </c:pt>
                <c:pt idx="100">
                  <c:v>10.526315789473685</c:v>
                </c:pt>
                <c:pt idx="101">
                  <c:v>4.2553191489361701</c:v>
                </c:pt>
                <c:pt idx="102">
                  <c:v>15.596330275229358</c:v>
                </c:pt>
                <c:pt idx="103">
                  <c:v>10.273972602739725</c:v>
                </c:pt>
              </c:numCache>
            </c:numRef>
          </c:yVal>
          <c:bubbleSize>
            <c:numRef>
              <c:f>'Мособлдума одномандатный'!$I$2:$I$105</c:f>
              <c:numCache>
                <c:formatCode>General</c:formatCode>
                <c:ptCount val="104"/>
                <c:pt idx="0">
                  <c:v>686</c:v>
                </c:pt>
                <c:pt idx="1">
                  <c:v>1338</c:v>
                </c:pt>
                <c:pt idx="2">
                  <c:v>1083</c:v>
                </c:pt>
                <c:pt idx="3">
                  <c:v>1508</c:v>
                </c:pt>
                <c:pt idx="4">
                  <c:v>1446</c:v>
                </c:pt>
                <c:pt idx="5">
                  <c:v>1286</c:v>
                </c:pt>
                <c:pt idx="6">
                  <c:v>1105</c:v>
                </c:pt>
                <c:pt idx="7">
                  <c:v>1709</c:v>
                </c:pt>
                <c:pt idx="8">
                  <c:v>1390</c:v>
                </c:pt>
                <c:pt idx="9">
                  <c:v>1333</c:v>
                </c:pt>
                <c:pt idx="10">
                  <c:v>1430</c:v>
                </c:pt>
                <c:pt idx="11">
                  <c:v>1038</c:v>
                </c:pt>
                <c:pt idx="12">
                  <c:v>959</c:v>
                </c:pt>
                <c:pt idx="13">
                  <c:v>1477</c:v>
                </c:pt>
                <c:pt idx="14">
                  <c:v>1129</c:v>
                </c:pt>
                <c:pt idx="15">
                  <c:v>1431</c:v>
                </c:pt>
                <c:pt idx="16">
                  <c:v>1118</c:v>
                </c:pt>
                <c:pt idx="17">
                  <c:v>1091</c:v>
                </c:pt>
                <c:pt idx="18">
                  <c:v>353</c:v>
                </c:pt>
                <c:pt idx="19">
                  <c:v>1499</c:v>
                </c:pt>
                <c:pt idx="20">
                  <c:v>1589</c:v>
                </c:pt>
                <c:pt idx="21">
                  <c:v>1373</c:v>
                </c:pt>
                <c:pt idx="22">
                  <c:v>817</c:v>
                </c:pt>
                <c:pt idx="23">
                  <c:v>860</c:v>
                </c:pt>
                <c:pt idx="24">
                  <c:v>1104</c:v>
                </c:pt>
                <c:pt idx="25">
                  <c:v>2848</c:v>
                </c:pt>
                <c:pt idx="26">
                  <c:v>2272</c:v>
                </c:pt>
                <c:pt idx="27">
                  <c:v>1797</c:v>
                </c:pt>
                <c:pt idx="28">
                  <c:v>1709</c:v>
                </c:pt>
                <c:pt idx="29">
                  <c:v>1229</c:v>
                </c:pt>
                <c:pt idx="30">
                  <c:v>1969</c:v>
                </c:pt>
                <c:pt idx="31">
                  <c:v>1144</c:v>
                </c:pt>
                <c:pt idx="32">
                  <c:v>452</c:v>
                </c:pt>
                <c:pt idx="33">
                  <c:v>1295</c:v>
                </c:pt>
                <c:pt idx="34">
                  <c:v>2204</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243</c:v>
                </c:pt>
                <c:pt idx="51">
                  <c:v>172</c:v>
                </c:pt>
                <c:pt idx="52">
                  <c:v>334</c:v>
                </c:pt>
                <c:pt idx="53">
                  <c:v>1576</c:v>
                </c:pt>
                <c:pt idx="54">
                  <c:v>1614</c:v>
                </c:pt>
                <c:pt idx="55">
                  <c:v>1116</c:v>
                </c:pt>
                <c:pt idx="56">
                  <c:v>1941</c:v>
                </c:pt>
                <c:pt idx="57">
                  <c:v>1977</c:v>
                </c:pt>
                <c:pt idx="58">
                  <c:v>1599</c:v>
                </c:pt>
                <c:pt idx="59">
                  <c:v>1295</c:v>
                </c:pt>
                <c:pt idx="60">
                  <c:v>1125</c:v>
                </c:pt>
                <c:pt idx="61">
                  <c:v>647</c:v>
                </c:pt>
                <c:pt idx="62">
                  <c:v>1408</c:v>
                </c:pt>
                <c:pt idx="63">
                  <c:v>1058</c:v>
                </c:pt>
                <c:pt idx="64">
                  <c:v>1406</c:v>
                </c:pt>
                <c:pt idx="65">
                  <c:v>1087</c:v>
                </c:pt>
                <c:pt idx="66">
                  <c:v>1253</c:v>
                </c:pt>
                <c:pt idx="67">
                  <c:v>1203</c:v>
                </c:pt>
                <c:pt idx="68">
                  <c:v>1269</c:v>
                </c:pt>
                <c:pt idx="69">
                  <c:v>804</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1741</c:v>
                </c:pt>
                <c:pt idx="95">
                  <c:v>1164</c:v>
                </c:pt>
                <c:pt idx="96">
                  <c:v>3346</c:v>
                </c:pt>
                <c:pt idx="97">
                  <c:v>1981</c:v>
                </c:pt>
                <c:pt idx="98">
                  <c:v>1966</c:v>
                </c:pt>
                <c:pt idx="99">
                  <c:v>1171</c:v>
                </c:pt>
                <c:pt idx="100">
                  <c:v>19</c:v>
                </c:pt>
                <c:pt idx="101">
                  <c:v>176</c:v>
                </c:pt>
                <c:pt idx="102">
                  <c:v>113</c:v>
                </c:pt>
                <c:pt idx="103">
                  <c:v>162</c:v>
                </c:pt>
              </c:numCache>
            </c:numRef>
          </c:bubbleSize>
          <c:bubble3D val="0"/>
          <c:extLst>
            <c:ext xmlns:c16="http://schemas.microsoft.com/office/drawing/2014/chart" uri="{C3380CC4-5D6E-409C-BE32-E72D297353CC}">
              <c16:uniqueId val="{00000000-0635-4CC9-A990-39CC245ADBA1}"/>
            </c:ext>
          </c:extLst>
        </c:ser>
        <c:ser>
          <c:idx val="9"/>
          <c:order val="1"/>
          <c:tx>
            <c:strRef>
              <c:f>'Мособлдума одномандатный'!$AC$1</c:f>
              <c:strCache>
                <c:ptCount val="1"/>
                <c:pt idx="0">
                  <c:v>Дорогих (Пенсионеров)</c:v>
                </c:pt>
              </c:strCache>
            </c:strRef>
          </c:tx>
          <c:spPr>
            <a:solidFill>
              <a:srgbClr val="996633">
                <a:alpha val="49804"/>
              </a:srgbClr>
            </a:solidFill>
            <a:ln w="25400"/>
          </c:spPr>
          <c:invertIfNegative val="0"/>
          <c:xVal>
            <c:numRef>
              <c:f>'Мособлдума одномандатный'!$N$2:$N$105</c:f>
              <c:numCache>
                <c:formatCode>0.0</c:formatCode>
                <c:ptCount val="104"/>
                <c:pt idx="0">
                  <c:v>39.212827988338191</c:v>
                </c:pt>
                <c:pt idx="1">
                  <c:v>38.041853512705529</c:v>
                </c:pt>
                <c:pt idx="2">
                  <c:v>39.427516158818101</c:v>
                </c:pt>
                <c:pt idx="3">
                  <c:v>39.854111405835546</c:v>
                </c:pt>
                <c:pt idx="4">
                  <c:v>33.264177040110653</c:v>
                </c:pt>
                <c:pt idx="5">
                  <c:v>42.690513219284604</c:v>
                </c:pt>
                <c:pt idx="6">
                  <c:v>43.348416289592762</c:v>
                </c:pt>
                <c:pt idx="7">
                  <c:v>38.736102984201288</c:v>
                </c:pt>
                <c:pt idx="8">
                  <c:v>39.352517985611513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39.505041246562783</c:v>
                </c:pt>
                <c:pt idx="18">
                  <c:v>47.592067988668553</c:v>
                </c:pt>
                <c:pt idx="19">
                  <c:v>42.895263509006007</c:v>
                </c:pt>
                <c:pt idx="20">
                  <c:v>40.27690371302706</c:v>
                </c:pt>
                <c:pt idx="21">
                  <c:v>37.29060451565914</c:v>
                </c:pt>
                <c:pt idx="22">
                  <c:v>100</c:v>
                </c:pt>
                <c:pt idx="23">
                  <c:v>32.906976744186046</c:v>
                </c:pt>
                <c:pt idx="24">
                  <c:v>34.60144927536232</c:v>
                </c:pt>
                <c:pt idx="25">
                  <c:v>46.629213483146067</c:v>
                </c:pt>
                <c:pt idx="26">
                  <c:v>63.160211267605632</c:v>
                </c:pt>
                <c:pt idx="27">
                  <c:v>54.368391764051196</c:v>
                </c:pt>
                <c:pt idx="28">
                  <c:v>51.082504388531305</c:v>
                </c:pt>
                <c:pt idx="29">
                  <c:v>35.150528885272578</c:v>
                </c:pt>
                <c:pt idx="30">
                  <c:v>68.105637379380397</c:v>
                </c:pt>
                <c:pt idx="31">
                  <c:v>40.2972027972028</c:v>
                </c:pt>
                <c:pt idx="32">
                  <c:v>61.283185840707965</c:v>
                </c:pt>
                <c:pt idx="33">
                  <c:v>47.104247104247101</c:v>
                </c:pt>
                <c:pt idx="34">
                  <c:v>34.255898366606168</c:v>
                </c:pt>
                <c:pt idx="35">
                  <c:v>64.880382775119614</c:v>
                </c:pt>
                <c:pt idx="36">
                  <c:v>59.744094488188978</c:v>
                </c:pt>
                <c:pt idx="37">
                  <c:v>53.713768115942031</c:v>
                </c:pt>
                <c:pt idx="38">
                  <c:v>76.283367556468178</c:v>
                </c:pt>
                <c:pt idx="39">
                  <c:v>34.335664335664333</c:v>
                </c:pt>
                <c:pt idx="40">
                  <c:v>42.814814814814817</c:v>
                </c:pt>
                <c:pt idx="41">
                  <c:v>31.17134559535334</c:v>
                </c:pt>
                <c:pt idx="42">
                  <c:v>59.070598748882929</c:v>
                </c:pt>
                <c:pt idx="43">
                  <c:v>37.272727272727273</c:v>
                </c:pt>
                <c:pt idx="44">
                  <c:v>29.840142095914743</c:v>
                </c:pt>
                <c:pt idx="45">
                  <c:v>42.738589211618255</c:v>
                </c:pt>
                <c:pt idx="46">
                  <c:v>39.080459770114942</c:v>
                </c:pt>
                <c:pt idx="47">
                  <c:v>35.185185185185183</c:v>
                </c:pt>
                <c:pt idx="48">
                  <c:v>41.260973663208297</c:v>
                </c:pt>
                <c:pt idx="49">
                  <c:v>34.392374900714856</c:v>
                </c:pt>
                <c:pt idx="50">
                  <c:v>35.802469135802468</c:v>
                </c:pt>
                <c:pt idx="51">
                  <c:v>40.697674418604649</c:v>
                </c:pt>
                <c:pt idx="52">
                  <c:v>36.526946107784433</c:v>
                </c:pt>
                <c:pt idx="53">
                  <c:v>30.076142131979694</c:v>
                </c:pt>
                <c:pt idx="54">
                  <c:v>34.696406443618336</c:v>
                </c:pt>
                <c:pt idx="55">
                  <c:v>41.666666666666664</c:v>
                </c:pt>
                <c:pt idx="56">
                  <c:v>56.774858320453376</c:v>
                </c:pt>
                <c:pt idx="57">
                  <c:v>62.721294891249364</c:v>
                </c:pt>
                <c:pt idx="58">
                  <c:v>79.737335834896811</c:v>
                </c:pt>
                <c:pt idx="59">
                  <c:v>24.555984555984555</c:v>
                </c:pt>
                <c:pt idx="60">
                  <c:v>34.666666666666664</c:v>
                </c:pt>
                <c:pt idx="61">
                  <c:v>100</c:v>
                </c:pt>
                <c:pt idx="62">
                  <c:v>34.801136363636367</c:v>
                </c:pt>
                <c:pt idx="63">
                  <c:v>36.672967863894137</c:v>
                </c:pt>
                <c:pt idx="64">
                  <c:v>34.423897581792318</c:v>
                </c:pt>
                <c:pt idx="65">
                  <c:v>40.018399264029441</c:v>
                </c:pt>
                <c:pt idx="66">
                  <c:v>37.031125299281726</c:v>
                </c:pt>
                <c:pt idx="67">
                  <c:v>34.912718204488776</c:v>
                </c:pt>
                <c:pt idx="68">
                  <c:v>33.490937746256897</c:v>
                </c:pt>
                <c:pt idx="69">
                  <c:v>39.552238805970148</c:v>
                </c:pt>
                <c:pt idx="70">
                  <c:v>26.846846846846848</c:v>
                </c:pt>
                <c:pt idx="71">
                  <c:v>32.449680903289149</c:v>
                </c:pt>
                <c:pt idx="72">
                  <c:v>59.467918622848202</c:v>
                </c:pt>
                <c:pt idx="73">
                  <c:v>49.481245011971268</c:v>
                </c:pt>
                <c:pt idx="74">
                  <c:v>51.4937106918239</c:v>
                </c:pt>
                <c:pt idx="75">
                  <c:v>45.822102425876011</c:v>
                </c:pt>
                <c:pt idx="76">
                  <c:v>54.390243902439025</c:v>
                </c:pt>
                <c:pt idx="77">
                  <c:v>54.835924006908463</c:v>
                </c:pt>
                <c:pt idx="78">
                  <c:v>58.416742493175612</c:v>
                </c:pt>
                <c:pt idx="79">
                  <c:v>73.318872017353584</c:v>
                </c:pt>
                <c:pt idx="80">
                  <c:v>52.941176470588232</c:v>
                </c:pt>
                <c:pt idx="81">
                  <c:v>48.114630467571644</c:v>
                </c:pt>
                <c:pt idx="82">
                  <c:v>45.288197621225983</c:v>
                </c:pt>
                <c:pt idx="83">
                  <c:v>32.228626320845343</c:v>
                </c:pt>
                <c:pt idx="84">
                  <c:v>48.853754940711461</c:v>
                </c:pt>
                <c:pt idx="85">
                  <c:v>48.4375</c:v>
                </c:pt>
                <c:pt idx="86">
                  <c:v>51.324503311258276</c:v>
                </c:pt>
                <c:pt idx="87">
                  <c:v>35.529715762273902</c:v>
                </c:pt>
                <c:pt idx="88">
                  <c:v>38.928939237899073</c:v>
                </c:pt>
                <c:pt idx="89">
                  <c:v>32.480141218005294</c:v>
                </c:pt>
                <c:pt idx="90">
                  <c:v>38.397502601456814</c:v>
                </c:pt>
                <c:pt idx="91">
                  <c:v>54.0625</c:v>
                </c:pt>
                <c:pt idx="92">
                  <c:v>39.892390468870097</c:v>
                </c:pt>
                <c:pt idx="93">
                  <c:v>46.120218579234972</c:v>
                </c:pt>
                <c:pt idx="94">
                  <c:v>23.147616312464102</c:v>
                </c:pt>
                <c:pt idx="95">
                  <c:v>36.426116838487971</c:v>
                </c:pt>
                <c:pt idx="96">
                  <c:v>47.011356843992829</c:v>
                </c:pt>
                <c:pt idx="97">
                  <c:v>64.613831398283693</c:v>
                </c:pt>
                <c:pt idx="98">
                  <c:v>55.188199389623598</c:v>
                </c:pt>
                <c:pt idx="99">
                  <c:v>39.53885567890692</c:v>
                </c:pt>
                <c:pt idx="100">
                  <c:v>100</c:v>
                </c:pt>
                <c:pt idx="101">
                  <c:v>80.11363636363636</c:v>
                </c:pt>
                <c:pt idx="102">
                  <c:v>96.460176991150448</c:v>
                </c:pt>
                <c:pt idx="103">
                  <c:v>90.123456790123456</c:v>
                </c:pt>
              </c:numCache>
            </c:numRef>
          </c:xVal>
          <c:yVal>
            <c:numRef>
              <c:f>'Мособлдума одномандатный'!$AC$2:$AC$105</c:f>
              <c:numCache>
                <c:formatCode>0.0</c:formatCode>
                <c:ptCount val="104"/>
                <c:pt idx="0">
                  <c:v>4.4609665427509295</c:v>
                </c:pt>
                <c:pt idx="1">
                  <c:v>7.6620825147347738</c:v>
                </c:pt>
                <c:pt idx="2">
                  <c:v>8.899297423887587</c:v>
                </c:pt>
                <c:pt idx="3">
                  <c:v>6.9883527454242929</c:v>
                </c:pt>
                <c:pt idx="4">
                  <c:v>4.5738045738045736</c:v>
                </c:pt>
                <c:pt idx="5">
                  <c:v>9.1407678244972583</c:v>
                </c:pt>
                <c:pt idx="6">
                  <c:v>7.1129707112970708</c:v>
                </c:pt>
                <c:pt idx="7">
                  <c:v>8.6102719033232624</c:v>
                </c:pt>
                <c:pt idx="8">
                  <c:v>6.9469835466179157</c:v>
                </c:pt>
                <c:pt idx="9">
                  <c:v>5.957446808510638</c:v>
                </c:pt>
                <c:pt idx="10">
                  <c:v>8.536585365853659</c:v>
                </c:pt>
                <c:pt idx="11">
                  <c:v>10.406091370558375</c:v>
                </c:pt>
                <c:pt idx="12">
                  <c:v>5.4441260744985671</c:v>
                </c:pt>
                <c:pt idx="13">
                  <c:v>6.0606060606060606</c:v>
                </c:pt>
                <c:pt idx="14">
                  <c:v>9.3506493506493502</c:v>
                </c:pt>
                <c:pt idx="15">
                  <c:v>7.1739130434782608</c:v>
                </c:pt>
                <c:pt idx="16">
                  <c:v>8.3129584352078236</c:v>
                </c:pt>
                <c:pt idx="17">
                  <c:v>8.5846867749419946</c:v>
                </c:pt>
                <c:pt idx="18">
                  <c:v>4.7619047619047619</c:v>
                </c:pt>
                <c:pt idx="19">
                  <c:v>8.5536547433903571</c:v>
                </c:pt>
                <c:pt idx="20">
                  <c:v>9.21875</c:v>
                </c:pt>
                <c:pt idx="21">
                  <c:v>8.0078125</c:v>
                </c:pt>
                <c:pt idx="22">
                  <c:v>0</c:v>
                </c:pt>
                <c:pt idx="23">
                  <c:v>2.4734982332155475</c:v>
                </c:pt>
                <c:pt idx="24">
                  <c:v>10.209424083769633</c:v>
                </c:pt>
                <c:pt idx="25">
                  <c:v>8.6596385542168672</c:v>
                </c:pt>
                <c:pt idx="26">
                  <c:v>4.7386759581881535</c:v>
                </c:pt>
                <c:pt idx="27">
                  <c:v>8.1883316274309106</c:v>
                </c:pt>
                <c:pt idx="28">
                  <c:v>6.8728522336769755</c:v>
                </c:pt>
                <c:pt idx="29">
                  <c:v>11.342592592592593</c:v>
                </c:pt>
                <c:pt idx="30">
                  <c:v>7.3825503355704694</c:v>
                </c:pt>
                <c:pt idx="31">
                  <c:v>9.9783080260303691</c:v>
                </c:pt>
                <c:pt idx="32">
                  <c:v>5.4151624548736459</c:v>
                </c:pt>
                <c:pt idx="33">
                  <c:v>3.9344262295081966</c:v>
                </c:pt>
                <c:pt idx="34">
                  <c:v>4.370860927152318</c:v>
                </c:pt>
                <c:pt idx="35">
                  <c:v>4.4247787610619467</c:v>
                </c:pt>
                <c:pt idx="36">
                  <c:v>5.2718286655683686</c:v>
                </c:pt>
                <c:pt idx="37">
                  <c:v>3.0354131534569984</c:v>
                </c:pt>
                <c:pt idx="38">
                  <c:v>3.2345013477088949</c:v>
                </c:pt>
                <c:pt idx="39">
                  <c:v>5.2953156822810588</c:v>
                </c:pt>
                <c:pt idx="40">
                  <c:v>4.844290657439446</c:v>
                </c:pt>
                <c:pt idx="41">
                  <c:v>8.3850931677018625</c:v>
                </c:pt>
                <c:pt idx="42">
                  <c:v>2.4205748865355523</c:v>
                </c:pt>
                <c:pt idx="43">
                  <c:v>5.6402439024390247</c:v>
                </c:pt>
                <c:pt idx="44">
                  <c:v>9.2261904761904763</c:v>
                </c:pt>
                <c:pt idx="45">
                  <c:v>5.0161812297734629</c:v>
                </c:pt>
                <c:pt idx="46">
                  <c:v>11.134453781512605</c:v>
                </c:pt>
                <c:pt idx="47">
                  <c:v>5.3523639607493312</c:v>
                </c:pt>
                <c:pt idx="48">
                  <c:v>7.1566731141199229</c:v>
                </c:pt>
                <c:pt idx="49">
                  <c:v>9.0069284064665123</c:v>
                </c:pt>
                <c:pt idx="50">
                  <c:v>5.7471264367816088</c:v>
                </c:pt>
                <c:pt idx="51">
                  <c:v>7.1428571428571432</c:v>
                </c:pt>
                <c:pt idx="52">
                  <c:v>10.655737704918034</c:v>
                </c:pt>
                <c:pt idx="53">
                  <c:v>6.1181434599156121</c:v>
                </c:pt>
                <c:pt idx="54">
                  <c:v>7.8571428571428568</c:v>
                </c:pt>
                <c:pt idx="55">
                  <c:v>9.89247311827957</c:v>
                </c:pt>
                <c:pt idx="56">
                  <c:v>8.3484573502722323</c:v>
                </c:pt>
                <c:pt idx="57">
                  <c:v>8.2258064516129039</c:v>
                </c:pt>
                <c:pt idx="58">
                  <c:v>7.9215686274509807</c:v>
                </c:pt>
                <c:pt idx="59">
                  <c:v>6.2893081761006293</c:v>
                </c:pt>
                <c:pt idx="60">
                  <c:v>6.9230769230769234</c:v>
                </c:pt>
                <c:pt idx="61">
                  <c:v>5.255023183925811</c:v>
                </c:pt>
                <c:pt idx="62">
                  <c:v>6.7346938775510203</c:v>
                </c:pt>
                <c:pt idx="63">
                  <c:v>6.9587628865979383</c:v>
                </c:pt>
                <c:pt idx="64">
                  <c:v>5.785123966942149</c:v>
                </c:pt>
                <c:pt idx="65">
                  <c:v>7.1264367816091951</c:v>
                </c:pt>
                <c:pt idx="66">
                  <c:v>5.6034482758620694</c:v>
                </c:pt>
                <c:pt idx="67">
                  <c:v>6.9047619047619051</c:v>
                </c:pt>
                <c:pt idx="68">
                  <c:v>6.3529411764705879</c:v>
                </c:pt>
                <c:pt idx="69">
                  <c:v>7.5471698113207548</c:v>
                </c:pt>
                <c:pt idx="70">
                  <c:v>6.7114093959731544</c:v>
                </c:pt>
                <c:pt idx="71">
                  <c:v>6.5151515151515156</c:v>
                </c:pt>
                <c:pt idx="72">
                  <c:v>4.4736842105263159</c:v>
                </c:pt>
                <c:pt idx="73">
                  <c:v>6.935483870967742</c:v>
                </c:pt>
                <c:pt idx="74">
                  <c:v>5.0381679389312977</c:v>
                </c:pt>
                <c:pt idx="75">
                  <c:v>3.5294117647058822</c:v>
                </c:pt>
                <c:pt idx="76">
                  <c:v>5.3811659192825116</c:v>
                </c:pt>
                <c:pt idx="77">
                  <c:v>6.6141732283464565</c:v>
                </c:pt>
                <c:pt idx="78">
                  <c:v>8.0996884735202492</c:v>
                </c:pt>
                <c:pt idx="79">
                  <c:v>5.9171597633136095</c:v>
                </c:pt>
                <c:pt idx="80">
                  <c:v>6.4935064935064934</c:v>
                </c:pt>
                <c:pt idx="81">
                  <c:v>5.015673981191223</c:v>
                </c:pt>
                <c:pt idx="82">
                  <c:v>2.8282828282828283</c:v>
                </c:pt>
                <c:pt idx="83">
                  <c:v>9.5380029806259312</c:v>
                </c:pt>
                <c:pt idx="84">
                  <c:v>7.9545454545454541</c:v>
                </c:pt>
                <c:pt idx="85">
                  <c:v>6.0931899641577063</c:v>
                </c:pt>
                <c:pt idx="86">
                  <c:v>8.7096774193548381</c:v>
                </c:pt>
                <c:pt idx="87">
                  <c:v>10.332103321033211</c:v>
                </c:pt>
                <c:pt idx="88">
                  <c:v>9.7883597883597879</c:v>
                </c:pt>
                <c:pt idx="89">
                  <c:v>8.1521739130434785</c:v>
                </c:pt>
                <c:pt idx="90">
                  <c:v>7.0652173913043477</c:v>
                </c:pt>
                <c:pt idx="91">
                  <c:v>7.0809248554913298</c:v>
                </c:pt>
                <c:pt idx="92">
                  <c:v>8.6705202312138727</c:v>
                </c:pt>
                <c:pt idx="93">
                  <c:v>4.7393364928909953</c:v>
                </c:pt>
                <c:pt idx="94">
                  <c:v>8.1885856079404462</c:v>
                </c:pt>
                <c:pt idx="95">
                  <c:v>7.783018867924528</c:v>
                </c:pt>
                <c:pt idx="96">
                  <c:v>6.9294342021614748</c:v>
                </c:pt>
                <c:pt idx="97">
                  <c:v>7.5</c:v>
                </c:pt>
                <c:pt idx="98">
                  <c:v>0.64516129032258063</c:v>
                </c:pt>
                <c:pt idx="99">
                  <c:v>6.9114470842332612</c:v>
                </c:pt>
                <c:pt idx="100">
                  <c:v>0</c:v>
                </c:pt>
                <c:pt idx="101">
                  <c:v>4.2553191489361701</c:v>
                </c:pt>
                <c:pt idx="102">
                  <c:v>11.009174311926605</c:v>
                </c:pt>
                <c:pt idx="103">
                  <c:v>7.5342465753424657</c:v>
                </c:pt>
              </c:numCache>
            </c:numRef>
          </c:yVal>
          <c:bubbleSize>
            <c:numRef>
              <c:f>'Мособлдума одномандатный'!$I$2:$I$105</c:f>
              <c:numCache>
                <c:formatCode>General</c:formatCode>
                <c:ptCount val="104"/>
                <c:pt idx="0">
                  <c:v>686</c:v>
                </c:pt>
                <c:pt idx="1">
                  <c:v>1338</c:v>
                </c:pt>
                <c:pt idx="2">
                  <c:v>1083</c:v>
                </c:pt>
                <c:pt idx="3">
                  <c:v>1508</c:v>
                </c:pt>
                <c:pt idx="4">
                  <c:v>1446</c:v>
                </c:pt>
                <c:pt idx="5">
                  <c:v>1286</c:v>
                </c:pt>
                <c:pt idx="6">
                  <c:v>1105</c:v>
                </c:pt>
                <c:pt idx="7">
                  <c:v>1709</c:v>
                </c:pt>
                <c:pt idx="8">
                  <c:v>1390</c:v>
                </c:pt>
                <c:pt idx="9">
                  <c:v>1333</c:v>
                </c:pt>
                <c:pt idx="10">
                  <c:v>1430</c:v>
                </c:pt>
                <c:pt idx="11">
                  <c:v>1038</c:v>
                </c:pt>
                <c:pt idx="12">
                  <c:v>959</c:v>
                </c:pt>
                <c:pt idx="13">
                  <c:v>1477</c:v>
                </c:pt>
                <c:pt idx="14">
                  <c:v>1129</c:v>
                </c:pt>
                <c:pt idx="15">
                  <c:v>1431</c:v>
                </c:pt>
                <c:pt idx="16">
                  <c:v>1118</c:v>
                </c:pt>
                <c:pt idx="17">
                  <c:v>1091</c:v>
                </c:pt>
                <c:pt idx="18">
                  <c:v>353</c:v>
                </c:pt>
                <c:pt idx="19">
                  <c:v>1499</c:v>
                </c:pt>
                <c:pt idx="20">
                  <c:v>1589</c:v>
                </c:pt>
                <c:pt idx="21">
                  <c:v>1373</c:v>
                </c:pt>
                <c:pt idx="22">
                  <c:v>817</c:v>
                </c:pt>
                <c:pt idx="23">
                  <c:v>860</c:v>
                </c:pt>
                <c:pt idx="24">
                  <c:v>1104</c:v>
                </c:pt>
                <c:pt idx="25">
                  <c:v>2848</c:v>
                </c:pt>
                <c:pt idx="26">
                  <c:v>2272</c:v>
                </c:pt>
                <c:pt idx="27">
                  <c:v>1797</c:v>
                </c:pt>
                <c:pt idx="28">
                  <c:v>1709</c:v>
                </c:pt>
                <c:pt idx="29">
                  <c:v>1229</c:v>
                </c:pt>
                <c:pt idx="30">
                  <c:v>1969</c:v>
                </c:pt>
                <c:pt idx="31">
                  <c:v>1144</c:v>
                </c:pt>
                <c:pt idx="32">
                  <c:v>452</c:v>
                </c:pt>
                <c:pt idx="33">
                  <c:v>1295</c:v>
                </c:pt>
                <c:pt idx="34">
                  <c:v>2204</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243</c:v>
                </c:pt>
                <c:pt idx="51">
                  <c:v>172</c:v>
                </c:pt>
                <c:pt idx="52">
                  <c:v>334</c:v>
                </c:pt>
                <c:pt idx="53">
                  <c:v>1576</c:v>
                </c:pt>
                <c:pt idx="54">
                  <c:v>1614</c:v>
                </c:pt>
                <c:pt idx="55">
                  <c:v>1116</c:v>
                </c:pt>
                <c:pt idx="56">
                  <c:v>1941</c:v>
                </c:pt>
                <c:pt idx="57">
                  <c:v>1977</c:v>
                </c:pt>
                <c:pt idx="58">
                  <c:v>1599</c:v>
                </c:pt>
                <c:pt idx="59">
                  <c:v>1295</c:v>
                </c:pt>
                <c:pt idx="60">
                  <c:v>1125</c:v>
                </c:pt>
                <c:pt idx="61">
                  <c:v>647</c:v>
                </c:pt>
                <c:pt idx="62">
                  <c:v>1408</c:v>
                </c:pt>
                <c:pt idx="63">
                  <c:v>1058</c:v>
                </c:pt>
                <c:pt idx="64">
                  <c:v>1406</c:v>
                </c:pt>
                <c:pt idx="65">
                  <c:v>1087</c:v>
                </c:pt>
                <c:pt idx="66">
                  <c:v>1253</c:v>
                </c:pt>
                <c:pt idx="67">
                  <c:v>1203</c:v>
                </c:pt>
                <c:pt idx="68">
                  <c:v>1269</c:v>
                </c:pt>
                <c:pt idx="69">
                  <c:v>804</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1741</c:v>
                </c:pt>
                <c:pt idx="95">
                  <c:v>1164</c:v>
                </c:pt>
                <c:pt idx="96">
                  <c:v>3346</c:v>
                </c:pt>
                <c:pt idx="97">
                  <c:v>1981</c:v>
                </c:pt>
                <c:pt idx="98">
                  <c:v>1966</c:v>
                </c:pt>
                <c:pt idx="99">
                  <c:v>1171</c:v>
                </c:pt>
                <c:pt idx="100">
                  <c:v>19</c:v>
                </c:pt>
                <c:pt idx="101">
                  <c:v>176</c:v>
                </c:pt>
                <c:pt idx="102">
                  <c:v>113</c:v>
                </c:pt>
                <c:pt idx="103">
                  <c:v>162</c:v>
                </c:pt>
              </c:numCache>
            </c:numRef>
          </c:bubbleSize>
          <c:bubble3D val="0"/>
          <c:extLst>
            <c:ext xmlns:c16="http://schemas.microsoft.com/office/drawing/2014/chart" uri="{C3380CC4-5D6E-409C-BE32-E72D297353CC}">
              <c16:uniqueId val="{00000001-0635-4CC9-A990-39CC245ADBA1}"/>
            </c:ext>
          </c:extLst>
        </c:ser>
        <c:ser>
          <c:idx val="10"/>
          <c:order val="2"/>
          <c:tx>
            <c:strRef>
              <c:f>'Мособлдума одномандатный'!$AE$1</c:f>
              <c:strCache>
                <c:ptCount val="1"/>
                <c:pt idx="0">
                  <c:v>Марушкин (СР)</c:v>
                </c:pt>
              </c:strCache>
            </c:strRef>
          </c:tx>
          <c:spPr>
            <a:solidFill>
              <a:srgbClr val="6666FF">
                <a:alpha val="49804"/>
              </a:srgbClr>
            </a:solidFill>
            <a:ln w="25400">
              <a:noFill/>
            </a:ln>
            <a:effectLst/>
          </c:spPr>
          <c:invertIfNegative val="0"/>
          <c:xVal>
            <c:numRef>
              <c:f>'Мособлдума одномандатный'!$N$2:$N$105</c:f>
              <c:numCache>
                <c:formatCode>0.0</c:formatCode>
                <c:ptCount val="104"/>
                <c:pt idx="0">
                  <c:v>39.212827988338191</c:v>
                </c:pt>
                <c:pt idx="1">
                  <c:v>38.041853512705529</c:v>
                </c:pt>
                <c:pt idx="2">
                  <c:v>39.427516158818101</c:v>
                </c:pt>
                <c:pt idx="3">
                  <c:v>39.854111405835546</c:v>
                </c:pt>
                <c:pt idx="4">
                  <c:v>33.264177040110653</c:v>
                </c:pt>
                <c:pt idx="5">
                  <c:v>42.690513219284604</c:v>
                </c:pt>
                <c:pt idx="6">
                  <c:v>43.348416289592762</c:v>
                </c:pt>
                <c:pt idx="7">
                  <c:v>38.736102984201288</c:v>
                </c:pt>
                <c:pt idx="8">
                  <c:v>39.352517985611513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39.505041246562783</c:v>
                </c:pt>
                <c:pt idx="18">
                  <c:v>47.592067988668553</c:v>
                </c:pt>
                <c:pt idx="19">
                  <c:v>42.895263509006007</c:v>
                </c:pt>
                <c:pt idx="20">
                  <c:v>40.27690371302706</c:v>
                </c:pt>
                <c:pt idx="21">
                  <c:v>37.29060451565914</c:v>
                </c:pt>
                <c:pt idx="22">
                  <c:v>100</c:v>
                </c:pt>
                <c:pt idx="23">
                  <c:v>32.906976744186046</c:v>
                </c:pt>
                <c:pt idx="24">
                  <c:v>34.60144927536232</c:v>
                </c:pt>
                <c:pt idx="25">
                  <c:v>46.629213483146067</c:v>
                </c:pt>
                <c:pt idx="26">
                  <c:v>63.160211267605632</c:v>
                </c:pt>
                <c:pt idx="27">
                  <c:v>54.368391764051196</c:v>
                </c:pt>
                <c:pt idx="28">
                  <c:v>51.082504388531305</c:v>
                </c:pt>
                <c:pt idx="29">
                  <c:v>35.150528885272578</c:v>
                </c:pt>
                <c:pt idx="30">
                  <c:v>68.105637379380397</c:v>
                </c:pt>
                <c:pt idx="31">
                  <c:v>40.2972027972028</c:v>
                </c:pt>
                <c:pt idx="32">
                  <c:v>61.283185840707965</c:v>
                </c:pt>
                <c:pt idx="33">
                  <c:v>47.104247104247101</c:v>
                </c:pt>
                <c:pt idx="34">
                  <c:v>34.255898366606168</c:v>
                </c:pt>
                <c:pt idx="35">
                  <c:v>64.880382775119614</c:v>
                </c:pt>
                <c:pt idx="36">
                  <c:v>59.744094488188978</c:v>
                </c:pt>
                <c:pt idx="37">
                  <c:v>53.713768115942031</c:v>
                </c:pt>
                <c:pt idx="38">
                  <c:v>76.283367556468178</c:v>
                </c:pt>
                <c:pt idx="39">
                  <c:v>34.335664335664333</c:v>
                </c:pt>
                <c:pt idx="40">
                  <c:v>42.814814814814817</c:v>
                </c:pt>
                <c:pt idx="41">
                  <c:v>31.17134559535334</c:v>
                </c:pt>
                <c:pt idx="42">
                  <c:v>59.070598748882929</c:v>
                </c:pt>
                <c:pt idx="43">
                  <c:v>37.272727272727273</c:v>
                </c:pt>
                <c:pt idx="44">
                  <c:v>29.840142095914743</c:v>
                </c:pt>
                <c:pt idx="45">
                  <c:v>42.738589211618255</c:v>
                </c:pt>
                <c:pt idx="46">
                  <c:v>39.080459770114942</c:v>
                </c:pt>
                <c:pt idx="47">
                  <c:v>35.185185185185183</c:v>
                </c:pt>
                <c:pt idx="48">
                  <c:v>41.260973663208297</c:v>
                </c:pt>
                <c:pt idx="49">
                  <c:v>34.392374900714856</c:v>
                </c:pt>
                <c:pt idx="50">
                  <c:v>35.802469135802468</c:v>
                </c:pt>
                <c:pt idx="51">
                  <c:v>40.697674418604649</c:v>
                </c:pt>
                <c:pt idx="52">
                  <c:v>36.526946107784433</c:v>
                </c:pt>
                <c:pt idx="53">
                  <c:v>30.076142131979694</c:v>
                </c:pt>
                <c:pt idx="54">
                  <c:v>34.696406443618336</c:v>
                </c:pt>
                <c:pt idx="55">
                  <c:v>41.666666666666664</c:v>
                </c:pt>
                <c:pt idx="56">
                  <c:v>56.774858320453376</c:v>
                </c:pt>
                <c:pt idx="57">
                  <c:v>62.721294891249364</c:v>
                </c:pt>
                <c:pt idx="58">
                  <c:v>79.737335834896811</c:v>
                </c:pt>
                <c:pt idx="59">
                  <c:v>24.555984555984555</c:v>
                </c:pt>
                <c:pt idx="60">
                  <c:v>34.666666666666664</c:v>
                </c:pt>
                <c:pt idx="61">
                  <c:v>100</c:v>
                </c:pt>
                <c:pt idx="62">
                  <c:v>34.801136363636367</c:v>
                </c:pt>
                <c:pt idx="63">
                  <c:v>36.672967863894137</c:v>
                </c:pt>
                <c:pt idx="64">
                  <c:v>34.423897581792318</c:v>
                </c:pt>
                <c:pt idx="65">
                  <c:v>40.018399264029441</c:v>
                </c:pt>
                <c:pt idx="66">
                  <c:v>37.031125299281726</c:v>
                </c:pt>
                <c:pt idx="67">
                  <c:v>34.912718204488776</c:v>
                </c:pt>
                <c:pt idx="68">
                  <c:v>33.490937746256897</c:v>
                </c:pt>
                <c:pt idx="69">
                  <c:v>39.552238805970148</c:v>
                </c:pt>
                <c:pt idx="70">
                  <c:v>26.846846846846848</c:v>
                </c:pt>
                <c:pt idx="71">
                  <c:v>32.449680903289149</c:v>
                </c:pt>
                <c:pt idx="72">
                  <c:v>59.467918622848202</c:v>
                </c:pt>
                <c:pt idx="73">
                  <c:v>49.481245011971268</c:v>
                </c:pt>
                <c:pt idx="74">
                  <c:v>51.4937106918239</c:v>
                </c:pt>
                <c:pt idx="75">
                  <c:v>45.822102425876011</c:v>
                </c:pt>
                <c:pt idx="76">
                  <c:v>54.390243902439025</c:v>
                </c:pt>
                <c:pt idx="77">
                  <c:v>54.835924006908463</c:v>
                </c:pt>
                <c:pt idx="78">
                  <c:v>58.416742493175612</c:v>
                </c:pt>
                <c:pt idx="79">
                  <c:v>73.318872017353584</c:v>
                </c:pt>
                <c:pt idx="80">
                  <c:v>52.941176470588232</c:v>
                </c:pt>
                <c:pt idx="81">
                  <c:v>48.114630467571644</c:v>
                </c:pt>
                <c:pt idx="82">
                  <c:v>45.288197621225983</c:v>
                </c:pt>
                <c:pt idx="83">
                  <c:v>32.228626320845343</c:v>
                </c:pt>
                <c:pt idx="84">
                  <c:v>48.853754940711461</c:v>
                </c:pt>
                <c:pt idx="85">
                  <c:v>48.4375</c:v>
                </c:pt>
                <c:pt idx="86">
                  <c:v>51.324503311258276</c:v>
                </c:pt>
                <c:pt idx="87">
                  <c:v>35.529715762273902</c:v>
                </c:pt>
                <c:pt idx="88">
                  <c:v>38.928939237899073</c:v>
                </c:pt>
                <c:pt idx="89">
                  <c:v>32.480141218005294</c:v>
                </c:pt>
                <c:pt idx="90">
                  <c:v>38.397502601456814</c:v>
                </c:pt>
                <c:pt idx="91">
                  <c:v>54.0625</c:v>
                </c:pt>
                <c:pt idx="92">
                  <c:v>39.892390468870097</c:v>
                </c:pt>
                <c:pt idx="93">
                  <c:v>46.120218579234972</c:v>
                </c:pt>
                <c:pt idx="94">
                  <c:v>23.147616312464102</c:v>
                </c:pt>
                <c:pt idx="95">
                  <c:v>36.426116838487971</c:v>
                </c:pt>
                <c:pt idx="96">
                  <c:v>47.011356843992829</c:v>
                </c:pt>
                <c:pt idx="97">
                  <c:v>64.613831398283693</c:v>
                </c:pt>
                <c:pt idx="98">
                  <c:v>55.188199389623598</c:v>
                </c:pt>
                <c:pt idx="99">
                  <c:v>39.53885567890692</c:v>
                </c:pt>
                <c:pt idx="100">
                  <c:v>100</c:v>
                </c:pt>
                <c:pt idx="101">
                  <c:v>80.11363636363636</c:v>
                </c:pt>
                <c:pt idx="102">
                  <c:v>96.460176991150448</c:v>
                </c:pt>
                <c:pt idx="103">
                  <c:v>90.123456790123456</c:v>
                </c:pt>
              </c:numCache>
            </c:numRef>
          </c:xVal>
          <c:yVal>
            <c:numRef>
              <c:f>'Мособлдума одномандатный'!$AE$2:$AE$105</c:f>
              <c:numCache>
                <c:formatCode>0.0</c:formatCode>
                <c:ptCount val="104"/>
                <c:pt idx="0">
                  <c:v>8.1784386617100377</c:v>
                </c:pt>
                <c:pt idx="1">
                  <c:v>11.198428290766207</c:v>
                </c:pt>
                <c:pt idx="2">
                  <c:v>7.0257611241217797</c:v>
                </c:pt>
                <c:pt idx="3">
                  <c:v>9.484193011647255</c:v>
                </c:pt>
                <c:pt idx="4">
                  <c:v>9.1476091476091472</c:v>
                </c:pt>
                <c:pt idx="5">
                  <c:v>9.3235831809872032</c:v>
                </c:pt>
                <c:pt idx="6">
                  <c:v>10.878661087866108</c:v>
                </c:pt>
                <c:pt idx="7">
                  <c:v>5.7401812688821749</c:v>
                </c:pt>
                <c:pt idx="8">
                  <c:v>8.7751371115173669</c:v>
                </c:pt>
                <c:pt idx="9">
                  <c:v>7.0212765957446805</c:v>
                </c:pt>
                <c:pt idx="10">
                  <c:v>8.1881533101045303</c:v>
                </c:pt>
                <c:pt idx="11">
                  <c:v>7.3604060913705585</c:v>
                </c:pt>
                <c:pt idx="12">
                  <c:v>8.8825214899713458</c:v>
                </c:pt>
                <c:pt idx="13">
                  <c:v>9.6590909090909083</c:v>
                </c:pt>
                <c:pt idx="14">
                  <c:v>7.5324675324675328</c:v>
                </c:pt>
                <c:pt idx="15">
                  <c:v>8.2608695652173907</c:v>
                </c:pt>
                <c:pt idx="16">
                  <c:v>10.757946210268949</c:v>
                </c:pt>
                <c:pt idx="17">
                  <c:v>9.0487238979118327</c:v>
                </c:pt>
                <c:pt idx="18">
                  <c:v>5.3571428571428568</c:v>
                </c:pt>
                <c:pt idx="19">
                  <c:v>9.3312597200622083</c:v>
                </c:pt>
                <c:pt idx="20">
                  <c:v>8.28125</c:v>
                </c:pt>
                <c:pt idx="21">
                  <c:v>4.1015625</c:v>
                </c:pt>
                <c:pt idx="22">
                  <c:v>0</c:v>
                </c:pt>
                <c:pt idx="23">
                  <c:v>4.946996466431095</c:v>
                </c:pt>
                <c:pt idx="24">
                  <c:v>10.732984293193716</c:v>
                </c:pt>
                <c:pt idx="25">
                  <c:v>9.0361445783132535</c:v>
                </c:pt>
                <c:pt idx="26">
                  <c:v>4.9477351916376309</c:v>
                </c:pt>
                <c:pt idx="27">
                  <c:v>9.6212896622313195</c:v>
                </c:pt>
                <c:pt idx="28">
                  <c:v>8.2474226804123703</c:v>
                </c:pt>
                <c:pt idx="29">
                  <c:v>9.2592592592592595</c:v>
                </c:pt>
                <c:pt idx="30">
                  <c:v>8.7994034302759143</c:v>
                </c:pt>
                <c:pt idx="31">
                  <c:v>11.062906724511931</c:v>
                </c:pt>
                <c:pt idx="32">
                  <c:v>6.859205776173285</c:v>
                </c:pt>
                <c:pt idx="33">
                  <c:v>6.721311475409836</c:v>
                </c:pt>
                <c:pt idx="34">
                  <c:v>9.1390728476821188</c:v>
                </c:pt>
                <c:pt idx="35">
                  <c:v>4.5722713864306783</c:v>
                </c:pt>
                <c:pt idx="36">
                  <c:v>6.0955518945634264</c:v>
                </c:pt>
                <c:pt idx="37">
                  <c:v>5.0590219224283306</c:v>
                </c:pt>
                <c:pt idx="38">
                  <c:v>2.1563342318059298</c:v>
                </c:pt>
                <c:pt idx="39">
                  <c:v>6.7209775967413439</c:v>
                </c:pt>
                <c:pt idx="40">
                  <c:v>4.844290657439446</c:v>
                </c:pt>
                <c:pt idx="41">
                  <c:v>9.9378881987577632</c:v>
                </c:pt>
                <c:pt idx="42">
                  <c:v>7.2617246596066565</c:v>
                </c:pt>
                <c:pt idx="43">
                  <c:v>7.4695121951219514</c:v>
                </c:pt>
                <c:pt idx="44">
                  <c:v>11.607142857142858</c:v>
                </c:pt>
                <c:pt idx="45">
                  <c:v>8.2524271844660202</c:v>
                </c:pt>
                <c:pt idx="46">
                  <c:v>10.92436974789916</c:v>
                </c:pt>
                <c:pt idx="47">
                  <c:v>7.4041034790365741</c:v>
                </c:pt>
                <c:pt idx="48">
                  <c:v>8.8974854932301746</c:v>
                </c:pt>
                <c:pt idx="49">
                  <c:v>10.854503464203233</c:v>
                </c:pt>
                <c:pt idx="50">
                  <c:v>8.0459770114942533</c:v>
                </c:pt>
                <c:pt idx="51">
                  <c:v>17.142857142857142</c:v>
                </c:pt>
                <c:pt idx="52">
                  <c:v>16.393442622950818</c:v>
                </c:pt>
                <c:pt idx="53">
                  <c:v>13.080168776371307</c:v>
                </c:pt>
                <c:pt idx="54">
                  <c:v>12.857142857142858</c:v>
                </c:pt>
                <c:pt idx="55">
                  <c:v>10.96774193548387</c:v>
                </c:pt>
                <c:pt idx="56">
                  <c:v>11.524500907441016</c:v>
                </c:pt>
                <c:pt idx="57">
                  <c:v>12.258064516129032</c:v>
                </c:pt>
                <c:pt idx="58">
                  <c:v>8.6274509803921564</c:v>
                </c:pt>
                <c:pt idx="59">
                  <c:v>14.779874213836479</c:v>
                </c:pt>
                <c:pt idx="60">
                  <c:v>8.7179487179487172</c:v>
                </c:pt>
                <c:pt idx="61">
                  <c:v>5.4095826893353944</c:v>
                </c:pt>
                <c:pt idx="62">
                  <c:v>8.1632653061224492</c:v>
                </c:pt>
                <c:pt idx="63">
                  <c:v>6.9587628865979383</c:v>
                </c:pt>
                <c:pt idx="64">
                  <c:v>6.6115702479338845</c:v>
                </c:pt>
                <c:pt idx="65">
                  <c:v>10.114942528735632</c:v>
                </c:pt>
                <c:pt idx="66">
                  <c:v>8.6206896551724146</c:v>
                </c:pt>
                <c:pt idx="67">
                  <c:v>10</c:v>
                </c:pt>
                <c:pt idx="68">
                  <c:v>5.882352941176471</c:v>
                </c:pt>
                <c:pt idx="69">
                  <c:v>6.9182389937106921</c:v>
                </c:pt>
                <c:pt idx="70">
                  <c:v>6.7114093959731544</c:v>
                </c:pt>
                <c:pt idx="71">
                  <c:v>10.757575757575758</c:v>
                </c:pt>
                <c:pt idx="72">
                  <c:v>4.4736842105263159</c:v>
                </c:pt>
                <c:pt idx="73">
                  <c:v>7.258064516129032</c:v>
                </c:pt>
                <c:pt idx="74">
                  <c:v>5.1908396946564883</c:v>
                </c:pt>
                <c:pt idx="75">
                  <c:v>5.882352941176471</c:v>
                </c:pt>
                <c:pt idx="76">
                  <c:v>7.0254110612855012</c:v>
                </c:pt>
                <c:pt idx="77">
                  <c:v>7.0866141732283463</c:v>
                </c:pt>
                <c:pt idx="78">
                  <c:v>6.5420560747663554</c:v>
                </c:pt>
                <c:pt idx="79">
                  <c:v>7.3964497041420119</c:v>
                </c:pt>
                <c:pt idx="80">
                  <c:v>5.1948051948051948</c:v>
                </c:pt>
                <c:pt idx="81">
                  <c:v>10.031347962382446</c:v>
                </c:pt>
                <c:pt idx="82">
                  <c:v>4.6464646464646462</c:v>
                </c:pt>
                <c:pt idx="83">
                  <c:v>8.9418777943368113</c:v>
                </c:pt>
                <c:pt idx="84">
                  <c:v>8.9285714285714288</c:v>
                </c:pt>
                <c:pt idx="85">
                  <c:v>5.376344086021505</c:v>
                </c:pt>
                <c:pt idx="86">
                  <c:v>10</c:v>
                </c:pt>
                <c:pt idx="87">
                  <c:v>8.1180811808118083</c:v>
                </c:pt>
                <c:pt idx="88">
                  <c:v>10.582010582010582</c:v>
                </c:pt>
                <c:pt idx="89">
                  <c:v>7.0652173913043477</c:v>
                </c:pt>
                <c:pt idx="90">
                  <c:v>9.7826086956521738</c:v>
                </c:pt>
                <c:pt idx="91">
                  <c:v>4.7687861271676297</c:v>
                </c:pt>
                <c:pt idx="92">
                  <c:v>9.8265895953757223</c:v>
                </c:pt>
                <c:pt idx="93">
                  <c:v>5.4502369668246446</c:v>
                </c:pt>
                <c:pt idx="94">
                  <c:v>10.669975186104219</c:v>
                </c:pt>
                <c:pt idx="95">
                  <c:v>10.377358490566039</c:v>
                </c:pt>
                <c:pt idx="96">
                  <c:v>10.298792116973935</c:v>
                </c:pt>
                <c:pt idx="97">
                  <c:v>9.453125</c:v>
                </c:pt>
                <c:pt idx="98">
                  <c:v>1.0138248847926268</c:v>
                </c:pt>
                <c:pt idx="99">
                  <c:v>10.799136069114471</c:v>
                </c:pt>
                <c:pt idx="100">
                  <c:v>15.789473684210526</c:v>
                </c:pt>
                <c:pt idx="101">
                  <c:v>0</c:v>
                </c:pt>
                <c:pt idx="102">
                  <c:v>4.5871559633027523</c:v>
                </c:pt>
                <c:pt idx="103">
                  <c:v>7.5342465753424657</c:v>
                </c:pt>
              </c:numCache>
            </c:numRef>
          </c:yVal>
          <c:bubbleSize>
            <c:numRef>
              <c:f>'Мособлдума одномандатный'!$I$2:$I$105</c:f>
              <c:numCache>
                <c:formatCode>General</c:formatCode>
                <c:ptCount val="104"/>
                <c:pt idx="0">
                  <c:v>686</c:v>
                </c:pt>
                <c:pt idx="1">
                  <c:v>1338</c:v>
                </c:pt>
                <c:pt idx="2">
                  <c:v>1083</c:v>
                </c:pt>
                <c:pt idx="3">
                  <c:v>1508</c:v>
                </c:pt>
                <c:pt idx="4">
                  <c:v>1446</c:v>
                </c:pt>
                <c:pt idx="5">
                  <c:v>1286</c:v>
                </c:pt>
                <c:pt idx="6">
                  <c:v>1105</c:v>
                </c:pt>
                <c:pt idx="7">
                  <c:v>1709</c:v>
                </c:pt>
                <c:pt idx="8">
                  <c:v>1390</c:v>
                </c:pt>
                <c:pt idx="9">
                  <c:v>1333</c:v>
                </c:pt>
                <c:pt idx="10">
                  <c:v>1430</c:v>
                </c:pt>
                <c:pt idx="11">
                  <c:v>1038</c:v>
                </c:pt>
                <c:pt idx="12">
                  <c:v>959</c:v>
                </c:pt>
                <c:pt idx="13">
                  <c:v>1477</c:v>
                </c:pt>
                <c:pt idx="14">
                  <c:v>1129</c:v>
                </c:pt>
                <c:pt idx="15">
                  <c:v>1431</c:v>
                </c:pt>
                <c:pt idx="16">
                  <c:v>1118</c:v>
                </c:pt>
                <c:pt idx="17">
                  <c:v>1091</c:v>
                </c:pt>
                <c:pt idx="18">
                  <c:v>353</c:v>
                </c:pt>
                <c:pt idx="19">
                  <c:v>1499</c:v>
                </c:pt>
                <c:pt idx="20">
                  <c:v>1589</c:v>
                </c:pt>
                <c:pt idx="21">
                  <c:v>1373</c:v>
                </c:pt>
                <c:pt idx="22">
                  <c:v>817</c:v>
                </c:pt>
                <c:pt idx="23">
                  <c:v>860</c:v>
                </c:pt>
                <c:pt idx="24">
                  <c:v>1104</c:v>
                </c:pt>
                <c:pt idx="25">
                  <c:v>2848</c:v>
                </c:pt>
                <c:pt idx="26">
                  <c:v>2272</c:v>
                </c:pt>
                <c:pt idx="27">
                  <c:v>1797</c:v>
                </c:pt>
                <c:pt idx="28">
                  <c:v>1709</c:v>
                </c:pt>
                <c:pt idx="29">
                  <c:v>1229</c:v>
                </c:pt>
                <c:pt idx="30">
                  <c:v>1969</c:v>
                </c:pt>
                <c:pt idx="31">
                  <c:v>1144</c:v>
                </c:pt>
                <c:pt idx="32">
                  <c:v>452</c:v>
                </c:pt>
                <c:pt idx="33">
                  <c:v>1295</c:v>
                </c:pt>
                <c:pt idx="34">
                  <c:v>2204</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243</c:v>
                </c:pt>
                <c:pt idx="51">
                  <c:v>172</c:v>
                </c:pt>
                <c:pt idx="52">
                  <c:v>334</c:v>
                </c:pt>
                <c:pt idx="53">
                  <c:v>1576</c:v>
                </c:pt>
                <c:pt idx="54">
                  <c:v>1614</c:v>
                </c:pt>
                <c:pt idx="55">
                  <c:v>1116</c:v>
                </c:pt>
                <c:pt idx="56">
                  <c:v>1941</c:v>
                </c:pt>
                <c:pt idx="57">
                  <c:v>1977</c:v>
                </c:pt>
                <c:pt idx="58">
                  <c:v>1599</c:v>
                </c:pt>
                <c:pt idx="59">
                  <c:v>1295</c:v>
                </c:pt>
                <c:pt idx="60">
                  <c:v>1125</c:v>
                </c:pt>
                <c:pt idx="61">
                  <c:v>647</c:v>
                </c:pt>
                <c:pt idx="62">
                  <c:v>1408</c:v>
                </c:pt>
                <c:pt idx="63">
                  <c:v>1058</c:v>
                </c:pt>
                <c:pt idx="64">
                  <c:v>1406</c:v>
                </c:pt>
                <c:pt idx="65">
                  <c:v>1087</c:v>
                </c:pt>
                <c:pt idx="66">
                  <c:v>1253</c:v>
                </c:pt>
                <c:pt idx="67">
                  <c:v>1203</c:v>
                </c:pt>
                <c:pt idx="68">
                  <c:v>1269</c:v>
                </c:pt>
                <c:pt idx="69">
                  <c:v>804</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1741</c:v>
                </c:pt>
                <c:pt idx="95">
                  <c:v>1164</c:v>
                </c:pt>
                <c:pt idx="96">
                  <c:v>3346</c:v>
                </c:pt>
                <c:pt idx="97">
                  <c:v>1981</c:v>
                </c:pt>
                <c:pt idx="98">
                  <c:v>1966</c:v>
                </c:pt>
                <c:pt idx="99">
                  <c:v>1171</c:v>
                </c:pt>
                <c:pt idx="100">
                  <c:v>19</c:v>
                </c:pt>
                <c:pt idx="101">
                  <c:v>176</c:v>
                </c:pt>
                <c:pt idx="102">
                  <c:v>113</c:v>
                </c:pt>
                <c:pt idx="103">
                  <c:v>162</c:v>
                </c:pt>
              </c:numCache>
            </c:numRef>
          </c:bubbleSize>
          <c:bubble3D val="0"/>
          <c:extLst>
            <c:ext xmlns:c16="http://schemas.microsoft.com/office/drawing/2014/chart" uri="{C3380CC4-5D6E-409C-BE32-E72D297353CC}">
              <c16:uniqueId val="{00000002-0635-4CC9-A990-39CC245ADBA1}"/>
            </c:ext>
          </c:extLst>
        </c:ser>
        <c:ser>
          <c:idx val="11"/>
          <c:order val="3"/>
          <c:tx>
            <c:strRef>
              <c:f>'Мособлдума одномандатный'!$AG$1</c:f>
              <c:strCache>
                <c:ptCount val="1"/>
                <c:pt idx="0">
                  <c:v>Павлова (Яблоко)</c:v>
                </c:pt>
              </c:strCache>
            </c:strRef>
          </c:tx>
          <c:spPr>
            <a:solidFill>
              <a:srgbClr val="FF00FF">
                <a:alpha val="49804"/>
              </a:srgbClr>
            </a:solidFill>
            <a:ln w="25400">
              <a:noFill/>
            </a:ln>
            <a:effectLst/>
          </c:spPr>
          <c:invertIfNegative val="0"/>
          <c:xVal>
            <c:numRef>
              <c:f>'Мособлдума одномандатный'!$N$2:$N$105</c:f>
              <c:numCache>
                <c:formatCode>0.0</c:formatCode>
                <c:ptCount val="104"/>
                <c:pt idx="0">
                  <c:v>39.212827988338191</c:v>
                </c:pt>
                <c:pt idx="1">
                  <c:v>38.041853512705529</c:v>
                </c:pt>
                <c:pt idx="2">
                  <c:v>39.427516158818101</c:v>
                </c:pt>
                <c:pt idx="3">
                  <c:v>39.854111405835546</c:v>
                </c:pt>
                <c:pt idx="4">
                  <c:v>33.264177040110653</c:v>
                </c:pt>
                <c:pt idx="5">
                  <c:v>42.690513219284604</c:v>
                </c:pt>
                <c:pt idx="6">
                  <c:v>43.348416289592762</c:v>
                </c:pt>
                <c:pt idx="7">
                  <c:v>38.736102984201288</c:v>
                </c:pt>
                <c:pt idx="8">
                  <c:v>39.352517985611513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39.505041246562783</c:v>
                </c:pt>
                <c:pt idx="18">
                  <c:v>47.592067988668553</c:v>
                </c:pt>
                <c:pt idx="19">
                  <c:v>42.895263509006007</c:v>
                </c:pt>
                <c:pt idx="20">
                  <c:v>40.27690371302706</c:v>
                </c:pt>
                <c:pt idx="21">
                  <c:v>37.29060451565914</c:v>
                </c:pt>
                <c:pt idx="22">
                  <c:v>100</c:v>
                </c:pt>
                <c:pt idx="23">
                  <c:v>32.906976744186046</c:v>
                </c:pt>
                <c:pt idx="24">
                  <c:v>34.60144927536232</c:v>
                </c:pt>
                <c:pt idx="25">
                  <c:v>46.629213483146067</c:v>
                </c:pt>
                <c:pt idx="26">
                  <c:v>63.160211267605632</c:v>
                </c:pt>
                <c:pt idx="27">
                  <c:v>54.368391764051196</c:v>
                </c:pt>
                <c:pt idx="28">
                  <c:v>51.082504388531305</c:v>
                </c:pt>
                <c:pt idx="29">
                  <c:v>35.150528885272578</c:v>
                </c:pt>
                <c:pt idx="30">
                  <c:v>68.105637379380397</c:v>
                </c:pt>
                <c:pt idx="31">
                  <c:v>40.2972027972028</c:v>
                </c:pt>
                <c:pt idx="32">
                  <c:v>61.283185840707965</c:v>
                </c:pt>
                <c:pt idx="33">
                  <c:v>47.104247104247101</c:v>
                </c:pt>
                <c:pt idx="34">
                  <c:v>34.255898366606168</c:v>
                </c:pt>
                <c:pt idx="35">
                  <c:v>64.880382775119614</c:v>
                </c:pt>
                <c:pt idx="36">
                  <c:v>59.744094488188978</c:v>
                </c:pt>
                <c:pt idx="37">
                  <c:v>53.713768115942031</c:v>
                </c:pt>
                <c:pt idx="38">
                  <c:v>76.283367556468178</c:v>
                </c:pt>
                <c:pt idx="39">
                  <c:v>34.335664335664333</c:v>
                </c:pt>
                <c:pt idx="40">
                  <c:v>42.814814814814817</c:v>
                </c:pt>
                <c:pt idx="41">
                  <c:v>31.17134559535334</c:v>
                </c:pt>
                <c:pt idx="42">
                  <c:v>59.070598748882929</c:v>
                </c:pt>
                <c:pt idx="43">
                  <c:v>37.272727272727273</c:v>
                </c:pt>
                <c:pt idx="44">
                  <c:v>29.840142095914743</c:v>
                </c:pt>
                <c:pt idx="45">
                  <c:v>42.738589211618255</c:v>
                </c:pt>
                <c:pt idx="46">
                  <c:v>39.080459770114942</c:v>
                </c:pt>
                <c:pt idx="47">
                  <c:v>35.185185185185183</c:v>
                </c:pt>
                <c:pt idx="48">
                  <c:v>41.260973663208297</c:v>
                </c:pt>
                <c:pt idx="49">
                  <c:v>34.392374900714856</c:v>
                </c:pt>
                <c:pt idx="50">
                  <c:v>35.802469135802468</c:v>
                </c:pt>
                <c:pt idx="51">
                  <c:v>40.697674418604649</c:v>
                </c:pt>
                <c:pt idx="52">
                  <c:v>36.526946107784433</c:v>
                </c:pt>
                <c:pt idx="53">
                  <c:v>30.076142131979694</c:v>
                </c:pt>
                <c:pt idx="54">
                  <c:v>34.696406443618336</c:v>
                </c:pt>
                <c:pt idx="55">
                  <c:v>41.666666666666664</c:v>
                </c:pt>
                <c:pt idx="56">
                  <c:v>56.774858320453376</c:v>
                </c:pt>
                <c:pt idx="57">
                  <c:v>62.721294891249364</c:v>
                </c:pt>
                <c:pt idx="58">
                  <c:v>79.737335834896811</c:v>
                </c:pt>
                <c:pt idx="59">
                  <c:v>24.555984555984555</c:v>
                </c:pt>
                <c:pt idx="60">
                  <c:v>34.666666666666664</c:v>
                </c:pt>
                <c:pt idx="61">
                  <c:v>100</c:v>
                </c:pt>
                <c:pt idx="62">
                  <c:v>34.801136363636367</c:v>
                </c:pt>
                <c:pt idx="63">
                  <c:v>36.672967863894137</c:v>
                </c:pt>
                <c:pt idx="64">
                  <c:v>34.423897581792318</c:v>
                </c:pt>
                <c:pt idx="65">
                  <c:v>40.018399264029441</c:v>
                </c:pt>
                <c:pt idx="66">
                  <c:v>37.031125299281726</c:v>
                </c:pt>
                <c:pt idx="67">
                  <c:v>34.912718204488776</c:v>
                </c:pt>
                <c:pt idx="68">
                  <c:v>33.490937746256897</c:v>
                </c:pt>
                <c:pt idx="69">
                  <c:v>39.552238805970148</c:v>
                </c:pt>
                <c:pt idx="70">
                  <c:v>26.846846846846848</c:v>
                </c:pt>
                <c:pt idx="71">
                  <c:v>32.449680903289149</c:v>
                </c:pt>
                <c:pt idx="72">
                  <c:v>59.467918622848202</c:v>
                </c:pt>
                <c:pt idx="73">
                  <c:v>49.481245011971268</c:v>
                </c:pt>
                <c:pt idx="74">
                  <c:v>51.4937106918239</c:v>
                </c:pt>
                <c:pt idx="75">
                  <c:v>45.822102425876011</c:v>
                </c:pt>
                <c:pt idx="76">
                  <c:v>54.390243902439025</c:v>
                </c:pt>
                <c:pt idx="77">
                  <c:v>54.835924006908463</c:v>
                </c:pt>
                <c:pt idx="78">
                  <c:v>58.416742493175612</c:v>
                </c:pt>
                <c:pt idx="79">
                  <c:v>73.318872017353584</c:v>
                </c:pt>
                <c:pt idx="80">
                  <c:v>52.941176470588232</c:v>
                </c:pt>
                <c:pt idx="81">
                  <c:v>48.114630467571644</c:v>
                </c:pt>
                <c:pt idx="82">
                  <c:v>45.288197621225983</c:v>
                </c:pt>
                <c:pt idx="83">
                  <c:v>32.228626320845343</c:v>
                </c:pt>
                <c:pt idx="84">
                  <c:v>48.853754940711461</c:v>
                </c:pt>
                <c:pt idx="85">
                  <c:v>48.4375</c:v>
                </c:pt>
                <c:pt idx="86">
                  <c:v>51.324503311258276</c:v>
                </c:pt>
                <c:pt idx="87">
                  <c:v>35.529715762273902</c:v>
                </c:pt>
                <c:pt idx="88">
                  <c:v>38.928939237899073</c:v>
                </c:pt>
                <c:pt idx="89">
                  <c:v>32.480141218005294</c:v>
                </c:pt>
                <c:pt idx="90">
                  <c:v>38.397502601456814</c:v>
                </c:pt>
                <c:pt idx="91">
                  <c:v>54.0625</c:v>
                </c:pt>
                <c:pt idx="92">
                  <c:v>39.892390468870097</c:v>
                </c:pt>
                <c:pt idx="93">
                  <c:v>46.120218579234972</c:v>
                </c:pt>
                <c:pt idx="94">
                  <c:v>23.147616312464102</c:v>
                </c:pt>
                <c:pt idx="95">
                  <c:v>36.426116838487971</c:v>
                </c:pt>
                <c:pt idx="96">
                  <c:v>47.011356843992829</c:v>
                </c:pt>
                <c:pt idx="97">
                  <c:v>64.613831398283693</c:v>
                </c:pt>
                <c:pt idx="98">
                  <c:v>55.188199389623598</c:v>
                </c:pt>
                <c:pt idx="99">
                  <c:v>39.53885567890692</c:v>
                </c:pt>
                <c:pt idx="100">
                  <c:v>100</c:v>
                </c:pt>
                <c:pt idx="101">
                  <c:v>80.11363636363636</c:v>
                </c:pt>
                <c:pt idx="102">
                  <c:v>96.460176991150448</c:v>
                </c:pt>
                <c:pt idx="103">
                  <c:v>90.123456790123456</c:v>
                </c:pt>
              </c:numCache>
            </c:numRef>
          </c:xVal>
          <c:yVal>
            <c:numRef>
              <c:f>'Мособлдума одномандатный'!$AG$2:$AG$105</c:f>
              <c:numCache>
                <c:formatCode>0.0</c:formatCode>
                <c:ptCount val="104"/>
                <c:pt idx="0">
                  <c:v>5.5762081784386615</c:v>
                </c:pt>
                <c:pt idx="1">
                  <c:v>5.1080550098231825</c:v>
                </c:pt>
                <c:pt idx="2">
                  <c:v>11.475409836065573</c:v>
                </c:pt>
                <c:pt idx="3">
                  <c:v>10.482529118136439</c:v>
                </c:pt>
                <c:pt idx="4">
                  <c:v>4.3659043659043659</c:v>
                </c:pt>
                <c:pt idx="5">
                  <c:v>8.4095063985374772</c:v>
                </c:pt>
                <c:pt idx="6">
                  <c:v>7.1129707112970708</c:v>
                </c:pt>
                <c:pt idx="7">
                  <c:v>9.5166163141993962</c:v>
                </c:pt>
                <c:pt idx="8">
                  <c:v>8.2266910420475323</c:v>
                </c:pt>
                <c:pt idx="9">
                  <c:v>4.8936170212765955</c:v>
                </c:pt>
                <c:pt idx="10">
                  <c:v>9.9303135888501739</c:v>
                </c:pt>
                <c:pt idx="11">
                  <c:v>7.8680203045685282</c:v>
                </c:pt>
                <c:pt idx="12">
                  <c:v>10.315186246418339</c:v>
                </c:pt>
                <c:pt idx="13">
                  <c:v>7.3863636363636367</c:v>
                </c:pt>
                <c:pt idx="14">
                  <c:v>10.129870129870129</c:v>
                </c:pt>
                <c:pt idx="15">
                  <c:v>10.217391304347826</c:v>
                </c:pt>
                <c:pt idx="16">
                  <c:v>6.3569682151589246</c:v>
                </c:pt>
                <c:pt idx="17">
                  <c:v>9.0487238979118327</c:v>
                </c:pt>
                <c:pt idx="18">
                  <c:v>4.7619047619047619</c:v>
                </c:pt>
                <c:pt idx="19">
                  <c:v>10.26438569206843</c:v>
                </c:pt>
                <c:pt idx="20">
                  <c:v>12.03125</c:v>
                </c:pt>
                <c:pt idx="21">
                  <c:v>8.0078125</c:v>
                </c:pt>
                <c:pt idx="22">
                  <c:v>4.5287637698898413</c:v>
                </c:pt>
                <c:pt idx="23">
                  <c:v>7.0671378091872787</c:v>
                </c:pt>
                <c:pt idx="24">
                  <c:v>5.2356020942408374</c:v>
                </c:pt>
                <c:pt idx="25">
                  <c:v>10.316265060240964</c:v>
                </c:pt>
                <c:pt idx="26">
                  <c:v>3.8327526132404182</c:v>
                </c:pt>
                <c:pt idx="27">
                  <c:v>9.6212896622313195</c:v>
                </c:pt>
                <c:pt idx="28">
                  <c:v>5.61282932416953</c:v>
                </c:pt>
                <c:pt idx="29">
                  <c:v>7.1759259259259256</c:v>
                </c:pt>
                <c:pt idx="30">
                  <c:v>6.8605518269947803</c:v>
                </c:pt>
                <c:pt idx="31">
                  <c:v>4.5553145336225596</c:v>
                </c:pt>
                <c:pt idx="32">
                  <c:v>7.9422382671480145</c:v>
                </c:pt>
                <c:pt idx="33">
                  <c:v>11.803278688524591</c:v>
                </c:pt>
                <c:pt idx="34">
                  <c:v>13.509933774834437</c:v>
                </c:pt>
                <c:pt idx="35">
                  <c:v>6.6371681415929205</c:v>
                </c:pt>
                <c:pt idx="36">
                  <c:v>5.7660626029654036</c:v>
                </c:pt>
                <c:pt idx="37">
                  <c:v>6.0708263069139967</c:v>
                </c:pt>
                <c:pt idx="38">
                  <c:v>4.3126684636118595</c:v>
                </c:pt>
                <c:pt idx="39">
                  <c:v>8.7576374745417507</c:v>
                </c:pt>
                <c:pt idx="40">
                  <c:v>11.188004613610151</c:v>
                </c:pt>
                <c:pt idx="41">
                  <c:v>8.695652173913043</c:v>
                </c:pt>
                <c:pt idx="42">
                  <c:v>7.5642965204236008</c:v>
                </c:pt>
                <c:pt idx="43">
                  <c:v>9.4512195121951219</c:v>
                </c:pt>
                <c:pt idx="44">
                  <c:v>11.30952380952381</c:v>
                </c:pt>
                <c:pt idx="45">
                  <c:v>6.1488673139158578</c:v>
                </c:pt>
                <c:pt idx="46">
                  <c:v>14.495798319327731</c:v>
                </c:pt>
                <c:pt idx="47">
                  <c:v>10.258697591436217</c:v>
                </c:pt>
                <c:pt idx="48">
                  <c:v>3.6750483558994196</c:v>
                </c:pt>
                <c:pt idx="49">
                  <c:v>6.2355658198614314</c:v>
                </c:pt>
                <c:pt idx="50">
                  <c:v>5.7471264367816088</c:v>
                </c:pt>
                <c:pt idx="51">
                  <c:v>5.7142857142857144</c:v>
                </c:pt>
                <c:pt idx="52">
                  <c:v>5.7377049180327866</c:v>
                </c:pt>
                <c:pt idx="53">
                  <c:v>10.548523206751055</c:v>
                </c:pt>
                <c:pt idx="54">
                  <c:v>8.5714285714285712</c:v>
                </c:pt>
                <c:pt idx="55">
                  <c:v>12.258064516129032</c:v>
                </c:pt>
                <c:pt idx="56">
                  <c:v>10.798548094373865</c:v>
                </c:pt>
                <c:pt idx="57">
                  <c:v>10.887096774193548</c:v>
                </c:pt>
                <c:pt idx="58">
                  <c:v>8</c:v>
                </c:pt>
                <c:pt idx="59">
                  <c:v>11.635220125786164</c:v>
                </c:pt>
                <c:pt idx="60">
                  <c:v>14.615384615384615</c:v>
                </c:pt>
                <c:pt idx="61">
                  <c:v>4.945904173106646</c:v>
                </c:pt>
                <c:pt idx="62">
                  <c:v>22.448979591836736</c:v>
                </c:pt>
                <c:pt idx="63">
                  <c:v>22.422680412371133</c:v>
                </c:pt>
                <c:pt idx="64">
                  <c:v>17.975206611570247</c:v>
                </c:pt>
                <c:pt idx="65">
                  <c:v>18.160919540229884</c:v>
                </c:pt>
                <c:pt idx="66">
                  <c:v>22.413793103448278</c:v>
                </c:pt>
                <c:pt idx="67">
                  <c:v>15.714285714285714</c:v>
                </c:pt>
                <c:pt idx="68">
                  <c:v>17.176470588235293</c:v>
                </c:pt>
                <c:pt idx="69">
                  <c:v>22.012578616352201</c:v>
                </c:pt>
                <c:pt idx="70">
                  <c:v>10.738255033557047</c:v>
                </c:pt>
                <c:pt idx="71">
                  <c:v>15.757575757575758</c:v>
                </c:pt>
                <c:pt idx="72">
                  <c:v>3.1578947368421053</c:v>
                </c:pt>
                <c:pt idx="73">
                  <c:v>5.967741935483871</c:v>
                </c:pt>
                <c:pt idx="74">
                  <c:v>6.5648854961832059</c:v>
                </c:pt>
                <c:pt idx="75">
                  <c:v>5.5882352941176467</c:v>
                </c:pt>
                <c:pt idx="76">
                  <c:v>5.2316890881913301</c:v>
                </c:pt>
                <c:pt idx="77">
                  <c:v>5.0393700787401574</c:v>
                </c:pt>
                <c:pt idx="78">
                  <c:v>4.8286604361370715</c:v>
                </c:pt>
                <c:pt idx="79">
                  <c:v>2.3668639053254439</c:v>
                </c:pt>
                <c:pt idx="80">
                  <c:v>7.2727272727272725</c:v>
                </c:pt>
                <c:pt idx="81">
                  <c:v>9.7178683385579934</c:v>
                </c:pt>
                <c:pt idx="82">
                  <c:v>0.60606060606060608</c:v>
                </c:pt>
                <c:pt idx="83">
                  <c:v>8.6438152011922504</c:v>
                </c:pt>
                <c:pt idx="84">
                  <c:v>7.1428571428571432</c:v>
                </c:pt>
                <c:pt idx="85">
                  <c:v>6.0931899641577063</c:v>
                </c:pt>
                <c:pt idx="86">
                  <c:v>5.4838709677419351</c:v>
                </c:pt>
                <c:pt idx="87">
                  <c:v>10.51660516605166</c:v>
                </c:pt>
                <c:pt idx="88">
                  <c:v>9.2592592592592595</c:v>
                </c:pt>
                <c:pt idx="89">
                  <c:v>7.6086956521739131</c:v>
                </c:pt>
                <c:pt idx="90">
                  <c:v>8.695652173913043</c:v>
                </c:pt>
                <c:pt idx="91">
                  <c:v>4.9132947976878611</c:v>
                </c:pt>
                <c:pt idx="92">
                  <c:v>6.5510597302504818</c:v>
                </c:pt>
                <c:pt idx="93">
                  <c:v>3.080568720379147</c:v>
                </c:pt>
                <c:pt idx="94">
                  <c:v>14.88833746898263</c:v>
                </c:pt>
                <c:pt idx="95">
                  <c:v>5.1886792452830193</c:v>
                </c:pt>
                <c:pt idx="96">
                  <c:v>9.9173553719008272</c:v>
                </c:pt>
                <c:pt idx="97">
                  <c:v>9.0625</c:v>
                </c:pt>
                <c:pt idx="98">
                  <c:v>0.18433179723502305</c:v>
                </c:pt>
                <c:pt idx="99">
                  <c:v>17.92656587473002</c:v>
                </c:pt>
                <c:pt idx="100">
                  <c:v>10.526315789473685</c:v>
                </c:pt>
                <c:pt idx="101">
                  <c:v>2.1276595744680851</c:v>
                </c:pt>
                <c:pt idx="102">
                  <c:v>7.3394495412844041</c:v>
                </c:pt>
                <c:pt idx="103">
                  <c:v>6.1643835616438354</c:v>
                </c:pt>
              </c:numCache>
            </c:numRef>
          </c:yVal>
          <c:bubbleSize>
            <c:numRef>
              <c:f>'Мособлдума одномандатный'!$I$2:$I$105</c:f>
              <c:numCache>
                <c:formatCode>General</c:formatCode>
                <c:ptCount val="104"/>
                <c:pt idx="0">
                  <c:v>686</c:v>
                </c:pt>
                <c:pt idx="1">
                  <c:v>1338</c:v>
                </c:pt>
                <c:pt idx="2">
                  <c:v>1083</c:v>
                </c:pt>
                <c:pt idx="3">
                  <c:v>1508</c:v>
                </c:pt>
                <c:pt idx="4">
                  <c:v>1446</c:v>
                </c:pt>
                <c:pt idx="5">
                  <c:v>1286</c:v>
                </c:pt>
                <c:pt idx="6">
                  <c:v>1105</c:v>
                </c:pt>
                <c:pt idx="7">
                  <c:v>1709</c:v>
                </c:pt>
                <c:pt idx="8">
                  <c:v>1390</c:v>
                </c:pt>
                <c:pt idx="9">
                  <c:v>1333</c:v>
                </c:pt>
                <c:pt idx="10">
                  <c:v>1430</c:v>
                </c:pt>
                <c:pt idx="11">
                  <c:v>1038</c:v>
                </c:pt>
                <c:pt idx="12">
                  <c:v>959</c:v>
                </c:pt>
                <c:pt idx="13">
                  <c:v>1477</c:v>
                </c:pt>
                <c:pt idx="14">
                  <c:v>1129</c:v>
                </c:pt>
                <c:pt idx="15">
                  <c:v>1431</c:v>
                </c:pt>
                <c:pt idx="16">
                  <c:v>1118</c:v>
                </c:pt>
                <c:pt idx="17">
                  <c:v>1091</c:v>
                </c:pt>
                <c:pt idx="18">
                  <c:v>353</c:v>
                </c:pt>
                <c:pt idx="19">
                  <c:v>1499</c:v>
                </c:pt>
                <c:pt idx="20">
                  <c:v>1589</c:v>
                </c:pt>
                <c:pt idx="21">
                  <c:v>1373</c:v>
                </c:pt>
                <c:pt idx="22">
                  <c:v>817</c:v>
                </c:pt>
                <c:pt idx="23">
                  <c:v>860</c:v>
                </c:pt>
                <c:pt idx="24">
                  <c:v>1104</c:v>
                </c:pt>
                <c:pt idx="25">
                  <c:v>2848</c:v>
                </c:pt>
                <c:pt idx="26">
                  <c:v>2272</c:v>
                </c:pt>
                <c:pt idx="27">
                  <c:v>1797</c:v>
                </c:pt>
                <c:pt idx="28">
                  <c:v>1709</c:v>
                </c:pt>
                <c:pt idx="29">
                  <c:v>1229</c:v>
                </c:pt>
                <c:pt idx="30">
                  <c:v>1969</c:v>
                </c:pt>
                <c:pt idx="31">
                  <c:v>1144</c:v>
                </c:pt>
                <c:pt idx="32">
                  <c:v>452</c:v>
                </c:pt>
                <c:pt idx="33">
                  <c:v>1295</c:v>
                </c:pt>
                <c:pt idx="34">
                  <c:v>2204</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243</c:v>
                </c:pt>
                <c:pt idx="51">
                  <c:v>172</c:v>
                </c:pt>
                <c:pt idx="52">
                  <c:v>334</c:v>
                </c:pt>
                <c:pt idx="53">
                  <c:v>1576</c:v>
                </c:pt>
                <c:pt idx="54">
                  <c:v>1614</c:v>
                </c:pt>
                <c:pt idx="55">
                  <c:v>1116</c:v>
                </c:pt>
                <c:pt idx="56">
                  <c:v>1941</c:v>
                </c:pt>
                <c:pt idx="57">
                  <c:v>1977</c:v>
                </c:pt>
                <c:pt idx="58">
                  <c:v>1599</c:v>
                </c:pt>
                <c:pt idx="59">
                  <c:v>1295</c:v>
                </c:pt>
                <c:pt idx="60">
                  <c:v>1125</c:v>
                </c:pt>
                <c:pt idx="61">
                  <c:v>647</c:v>
                </c:pt>
                <c:pt idx="62">
                  <c:v>1408</c:v>
                </c:pt>
                <c:pt idx="63">
                  <c:v>1058</c:v>
                </c:pt>
                <c:pt idx="64">
                  <c:v>1406</c:v>
                </c:pt>
                <c:pt idx="65">
                  <c:v>1087</c:v>
                </c:pt>
                <c:pt idx="66">
                  <c:v>1253</c:v>
                </c:pt>
                <c:pt idx="67">
                  <c:v>1203</c:v>
                </c:pt>
                <c:pt idx="68">
                  <c:v>1269</c:v>
                </c:pt>
                <c:pt idx="69">
                  <c:v>804</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1741</c:v>
                </c:pt>
                <c:pt idx="95">
                  <c:v>1164</c:v>
                </c:pt>
                <c:pt idx="96">
                  <c:v>3346</c:v>
                </c:pt>
                <c:pt idx="97">
                  <c:v>1981</c:v>
                </c:pt>
                <c:pt idx="98">
                  <c:v>1966</c:v>
                </c:pt>
                <c:pt idx="99">
                  <c:v>1171</c:v>
                </c:pt>
                <c:pt idx="100">
                  <c:v>19</c:v>
                </c:pt>
                <c:pt idx="101">
                  <c:v>176</c:v>
                </c:pt>
                <c:pt idx="102">
                  <c:v>113</c:v>
                </c:pt>
                <c:pt idx="103">
                  <c:v>162</c:v>
                </c:pt>
              </c:numCache>
            </c:numRef>
          </c:bubbleSize>
          <c:bubble3D val="0"/>
          <c:extLst>
            <c:ext xmlns:c16="http://schemas.microsoft.com/office/drawing/2014/chart" uri="{C3380CC4-5D6E-409C-BE32-E72D297353CC}">
              <c16:uniqueId val="{00000003-0635-4CC9-A990-39CC245ADBA1}"/>
            </c:ext>
          </c:extLst>
        </c:ser>
        <c:ser>
          <c:idx val="12"/>
          <c:order val="4"/>
          <c:tx>
            <c:strRef>
              <c:f>'Мособлдума одномандатный'!$AI$1</c:f>
              <c:strCache>
                <c:ptCount val="1"/>
                <c:pt idx="0">
                  <c:v>Пархоменко (ЛДПР)</c:v>
                </c:pt>
              </c:strCache>
            </c:strRef>
          </c:tx>
          <c:spPr>
            <a:solidFill>
              <a:srgbClr val="FF9900">
                <a:alpha val="49804"/>
              </a:srgbClr>
            </a:solidFill>
            <a:ln w="25400">
              <a:noFill/>
            </a:ln>
          </c:spPr>
          <c:invertIfNegative val="0"/>
          <c:xVal>
            <c:numRef>
              <c:f>'Мособлдума одномандатный'!$N$2:$N$105</c:f>
              <c:numCache>
                <c:formatCode>0.0</c:formatCode>
                <c:ptCount val="104"/>
                <c:pt idx="0">
                  <c:v>39.212827988338191</c:v>
                </c:pt>
                <c:pt idx="1">
                  <c:v>38.041853512705529</c:v>
                </c:pt>
                <c:pt idx="2">
                  <c:v>39.427516158818101</c:v>
                </c:pt>
                <c:pt idx="3">
                  <c:v>39.854111405835546</c:v>
                </c:pt>
                <c:pt idx="4">
                  <c:v>33.264177040110653</c:v>
                </c:pt>
                <c:pt idx="5">
                  <c:v>42.690513219284604</c:v>
                </c:pt>
                <c:pt idx="6">
                  <c:v>43.348416289592762</c:v>
                </c:pt>
                <c:pt idx="7">
                  <c:v>38.736102984201288</c:v>
                </c:pt>
                <c:pt idx="8">
                  <c:v>39.352517985611513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39.505041246562783</c:v>
                </c:pt>
                <c:pt idx="18">
                  <c:v>47.592067988668553</c:v>
                </c:pt>
                <c:pt idx="19">
                  <c:v>42.895263509006007</c:v>
                </c:pt>
                <c:pt idx="20">
                  <c:v>40.27690371302706</c:v>
                </c:pt>
                <c:pt idx="21">
                  <c:v>37.29060451565914</c:v>
                </c:pt>
                <c:pt idx="22">
                  <c:v>100</c:v>
                </c:pt>
                <c:pt idx="23">
                  <c:v>32.906976744186046</c:v>
                </c:pt>
                <c:pt idx="24">
                  <c:v>34.60144927536232</c:v>
                </c:pt>
                <c:pt idx="25">
                  <c:v>46.629213483146067</c:v>
                </c:pt>
                <c:pt idx="26">
                  <c:v>63.160211267605632</c:v>
                </c:pt>
                <c:pt idx="27">
                  <c:v>54.368391764051196</c:v>
                </c:pt>
                <c:pt idx="28">
                  <c:v>51.082504388531305</c:v>
                </c:pt>
                <c:pt idx="29">
                  <c:v>35.150528885272578</c:v>
                </c:pt>
                <c:pt idx="30">
                  <c:v>68.105637379380397</c:v>
                </c:pt>
                <c:pt idx="31">
                  <c:v>40.2972027972028</c:v>
                </c:pt>
                <c:pt idx="32">
                  <c:v>61.283185840707965</c:v>
                </c:pt>
                <c:pt idx="33">
                  <c:v>47.104247104247101</c:v>
                </c:pt>
                <c:pt idx="34">
                  <c:v>34.255898366606168</c:v>
                </c:pt>
                <c:pt idx="35">
                  <c:v>64.880382775119614</c:v>
                </c:pt>
                <c:pt idx="36">
                  <c:v>59.744094488188978</c:v>
                </c:pt>
                <c:pt idx="37">
                  <c:v>53.713768115942031</c:v>
                </c:pt>
                <c:pt idx="38">
                  <c:v>76.283367556468178</c:v>
                </c:pt>
                <c:pt idx="39">
                  <c:v>34.335664335664333</c:v>
                </c:pt>
                <c:pt idx="40">
                  <c:v>42.814814814814817</c:v>
                </c:pt>
                <c:pt idx="41">
                  <c:v>31.17134559535334</c:v>
                </c:pt>
                <c:pt idx="42">
                  <c:v>59.070598748882929</c:v>
                </c:pt>
                <c:pt idx="43">
                  <c:v>37.272727272727273</c:v>
                </c:pt>
                <c:pt idx="44">
                  <c:v>29.840142095914743</c:v>
                </c:pt>
                <c:pt idx="45">
                  <c:v>42.738589211618255</c:v>
                </c:pt>
                <c:pt idx="46">
                  <c:v>39.080459770114942</c:v>
                </c:pt>
                <c:pt idx="47">
                  <c:v>35.185185185185183</c:v>
                </c:pt>
                <c:pt idx="48">
                  <c:v>41.260973663208297</c:v>
                </c:pt>
                <c:pt idx="49">
                  <c:v>34.392374900714856</c:v>
                </c:pt>
                <c:pt idx="50">
                  <c:v>35.802469135802468</c:v>
                </c:pt>
                <c:pt idx="51">
                  <c:v>40.697674418604649</c:v>
                </c:pt>
                <c:pt idx="52">
                  <c:v>36.526946107784433</c:v>
                </c:pt>
                <c:pt idx="53">
                  <c:v>30.076142131979694</c:v>
                </c:pt>
                <c:pt idx="54">
                  <c:v>34.696406443618336</c:v>
                </c:pt>
                <c:pt idx="55">
                  <c:v>41.666666666666664</c:v>
                </c:pt>
                <c:pt idx="56">
                  <c:v>56.774858320453376</c:v>
                </c:pt>
                <c:pt idx="57">
                  <c:v>62.721294891249364</c:v>
                </c:pt>
                <c:pt idx="58">
                  <c:v>79.737335834896811</c:v>
                </c:pt>
                <c:pt idx="59">
                  <c:v>24.555984555984555</c:v>
                </c:pt>
                <c:pt idx="60">
                  <c:v>34.666666666666664</c:v>
                </c:pt>
                <c:pt idx="61">
                  <c:v>100</c:v>
                </c:pt>
                <c:pt idx="62">
                  <c:v>34.801136363636367</c:v>
                </c:pt>
                <c:pt idx="63">
                  <c:v>36.672967863894137</c:v>
                </c:pt>
                <c:pt idx="64">
                  <c:v>34.423897581792318</c:v>
                </c:pt>
                <c:pt idx="65">
                  <c:v>40.018399264029441</c:v>
                </c:pt>
                <c:pt idx="66">
                  <c:v>37.031125299281726</c:v>
                </c:pt>
                <c:pt idx="67">
                  <c:v>34.912718204488776</c:v>
                </c:pt>
                <c:pt idx="68">
                  <c:v>33.490937746256897</c:v>
                </c:pt>
                <c:pt idx="69">
                  <c:v>39.552238805970148</c:v>
                </c:pt>
                <c:pt idx="70">
                  <c:v>26.846846846846848</c:v>
                </c:pt>
                <c:pt idx="71">
                  <c:v>32.449680903289149</c:v>
                </c:pt>
                <c:pt idx="72">
                  <c:v>59.467918622848202</c:v>
                </c:pt>
                <c:pt idx="73">
                  <c:v>49.481245011971268</c:v>
                </c:pt>
                <c:pt idx="74">
                  <c:v>51.4937106918239</c:v>
                </c:pt>
                <c:pt idx="75">
                  <c:v>45.822102425876011</c:v>
                </c:pt>
                <c:pt idx="76">
                  <c:v>54.390243902439025</c:v>
                </c:pt>
                <c:pt idx="77">
                  <c:v>54.835924006908463</c:v>
                </c:pt>
                <c:pt idx="78">
                  <c:v>58.416742493175612</c:v>
                </c:pt>
                <c:pt idx="79">
                  <c:v>73.318872017353584</c:v>
                </c:pt>
                <c:pt idx="80">
                  <c:v>52.941176470588232</c:v>
                </c:pt>
                <c:pt idx="81">
                  <c:v>48.114630467571644</c:v>
                </c:pt>
                <c:pt idx="82">
                  <c:v>45.288197621225983</c:v>
                </c:pt>
                <c:pt idx="83">
                  <c:v>32.228626320845343</c:v>
                </c:pt>
                <c:pt idx="84">
                  <c:v>48.853754940711461</c:v>
                </c:pt>
                <c:pt idx="85">
                  <c:v>48.4375</c:v>
                </c:pt>
                <c:pt idx="86">
                  <c:v>51.324503311258276</c:v>
                </c:pt>
                <c:pt idx="87">
                  <c:v>35.529715762273902</c:v>
                </c:pt>
                <c:pt idx="88">
                  <c:v>38.928939237899073</c:v>
                </c:pt>
                <c:pt idx="89">
                  <c:v>32.480141218005294</c:v>
                </c:pt>
                <c:pt idx="90">
                  <c:v>38.397502601456814</c:v>
                </c:pt>
                <c:pt idx="91">
                  <c:v>54.0625</c:v>
                </c:pt>
                <c:pt idx="92">
                  <c:v>39.892390468870097</c:v>
                </c:pt>
                <c:pt idx="93">
                  <c:v>46.120218579234972</c:v>
                </c:pt>
                <c:pt idx="94">
                  <c:v>23.147616312464102</c:v>
                </c:pt>
                <c:pt idx="95">
                  <c:v>36.426116838487971</c:v>
                </c:pt>
                <c:pt idx="96">
                  <c:v>47.011356843992829</c:v>
                </c:pt>
                <c:pt idx="97">
                  <c:v>64.613831398283693</c:v>
                </c:pt>
                <c:pt idx="98">
                  <c:v>55.188199389623598</c:v>
                </c:pt>
                <c:pt idx="99">
                  <c:v>39.53885567890692</c:v>
                </c:pt>
                <c:pt idx="100">
                  <c:v>100</c:v>
                </c:pt>
                <c:pt idx="101">
                  <c:v>80.11363636363636</c:v>
                </c:pt>
                <c:pt idx="102">
                  <c:v>96.460176991150448</c:v>
                </c:pt>
                <c:pt idx="103">
                  <c:v>90.123456790123456</c:v>
                </c:pt>
              </c:numCache>
            </c:numRef>
          </c:xVal>
          <c:yVal>
            <c:numRef>
              <c:f>'Мособлдума одномандатный'!$AI$2:$AI$105</c:f>
              <c:numCache>
                <c:formatCode>0.0</c:formatCode>
                <c:ptCount val="104"/>
                <c:pt idx="0">
                  <c:v>11.152416356877323</c:v>
                </c:pt>
                <c:pt idx="1">
                  <c:v>9.0373280943025538</c:v>
                </c:pt>
                <c:pt idx="2">
                  <c:v>7.9625292740046838</c:v>
                </c:pt>
                <c:pt idx="3">
                  <c:v>8.8186356073211307</c:v>
                </c:pt>
                <c:pt idx="4">
                  <c:v>8.5239085239085242</c:v>
                </c:pt>
                <c:pt idx="5">
                  <c:v>7.8610603290676417</c:v>
                </c:pt>
                <c:pt idx="6">
                  <c:v>8.3682008368200833</c:v>
                </c:pt>
                <c:pt idx="7">
                  <c:v>8.3081570996978851</c:v>
                </c:pt>
                <c:pt idx="8">
                  <c:v>12.431444241316271</c:v>
                </c:pt>
                <c:pt idx="9">
                  <c:v>6.3829787234042552</c:v>
                </c:pt>
                <c:pt idx="10">
                  <c:v>9.7560975609756095</c:v>
                </c:pt>
                <c:pt idx="11">
                  <c:v>9.6446700507614214</c:v>
                </c:pt>
                <c:pt idx="12">
                  <c:v>6.0171919770773643</c:v>
                </c:pt>
                <c:pt idx="13">
                  <c:v>9.8484848484848477</c:v>
                </c:pt>
                <c:pt idx="14">
                  <c:v>8.5714285714285712</c:v>
                </c:pt>
                <c:pt idx="15">
                  <c:v>12.173913043478262</c:v>
                </c:pt>
                <c:pt idx="16">
                  <c:v>7.8239608801955987</c:v>
                </c:pt>
                <c:pt idx="17">
                  <c:v>11.136890951276103</c:v>
                </c:pt>
                <c:pt idx="18">
                  <c:v>8.9285714285714288</c:v>
                </c:pt>
                <c:pt idx="19">
                  <c:v>7.9315707620528775</c:v>
                </c:pt>
                <c:pt idx="20">
                  <c:v>8.125</c:v>
                </c:pt>
                <c:pt idx="21">
                  <c:v>5.46875</c:v>
                </c:pt>
                <c:pt idx="22">
                  <c:v>6.119951040391677</c:v>
                </c:pt>
                <c:pt idx="23">
                  <c:v>13.780918727915195</c:v>
                </c:pt>
                <c:pt idx="24">
                  <c:v>8.1151832460732987</c:v>
                </c:pt>
                <c:pt idx="25">
                  <c:v>10.015060240963855</c:v>
                </c:pt>
                <c:pt idx="26">
                  <c:v>4.3205574912891986</c:v>
                </c:pt>
                <c:pt idx="27">
                  <c:v>9.8259979529170938</c:v>
                </c:pt>
                <c:pt idx="28">
                  <c:v>9.7365406643757151</c:v>
                </c:pt>
                <c:pt idx="29">
                  <c:v>7.1759259259259256</c:v>
                </c:pt>
                <c:pt idx="30">
                  <c:v>13.646532438478747</c:v>
                </c:pt>
                <c:pt idx="31">
                  <c:v>10.845986984815617</c:v>
                </c:pt>
                <c:pt idx="32">
                  <c:v>11.191335740072201</c:v>
                </c:pt>
                <c:pt idx="33">
                  <c:v>6.557377049180328</c:v>
                </c:pt>
                <c:pt idx="34">
                  <c:v>6.2251655629139071</c:v>
                </c:pt>
                <c:pt idx="35">
                  <c:v>5.6047197640117998</c:v>
                </c:pt>
                <c:pt idx="36">
                  <c:v>5.1070840197693572</c:v>
                </c:pt>
                <c:pt idx="37">
                  <c:v>3.87858347386172</c:v>
                </c:pt>
                <c:pt idx="38">
                  <c:v>4.3126684636118595</c:v>
                </c:pt>
                <c:pt idx="39">
                  <c:v>6.313645621181263</c:v>
                </c:pt>
                <c:pt idx="40">
                  <c:v>6.9204152249134951</c:v>
                </c:pt>
                <c:pt idx="41">
                  <c:v>9.9378881987577632</c:v>
                </c:pt>
                <c:pt idx="42">
                  <c:v>6.6565809379727687</c:v>
                </c:pt>
                <c:pt idx="43">
                  <c:v>7.0121951219512191</c:v>
                </c:pt>
                <c:pt idx="44">
                  <c:v>8.3333333333333339</c:v>
                </c:pt>
                <c:pt idx="45">
                  <c:v>3.3980582524271843</c:v>
                </c:pt>
                <c:pt idx="46">
                  <c:v>6.9327731092436977</c:v>
                </c:pt>
                <c:pt idx="47">
                  <c:v>6.6012488849241748</c:v>
                </c:pt>
                <c:pt idx="48">
                  <c:v>6.7698259187620886</c:v>
                </c:pt>
                <c:pt idx="49">
                  <c:v>12.471131639722863</c:v>
                </c:pt>
                <c:pt idx="50">
                  <c:v>6.8965517241379306</c:v>
                </c:pt>
                <c:pt idx="51">
                  <c:v>10</c:v>
                </c:pt>
                <c:pt idx="52">
                  <c:v>8.1967213114754092</c:v>
                </c:pt>
                <c:pt idx="53">
                  <c:v>9.7046413502109701</c:v>
                </c:pt>
                <c:pt idx="54">
                  <c:v>7.8571428571428568</c:v>
                </c:pt>
                <c:pt idx="55">
                  <c:v>9.4623655913978499</c:v>
                </c:pt>
                <c:pt idx="56">
                  <c:v>9.70961887477314</c:v>
                </c:pt>
                <c:pt idx="57">
                  <c:v>11.451612903225806</c:v>
                </c:pt>
                <c:pt idx="58">
                  <c:v>12</c:v>
                </c:pt>
                <c:pt idx="59">
                  <c:v>5.6603773584905657</c:v>
                </c:pt>
                <c:pt idx="60">
                  <c:v>10.512820512820513</c:v>
                </c:pt>
                <c:pt idx="61">
                  <c:v>4.6367851622874809</c:v>
                </c:pt>
                <c:pt idx="62">
                  <c:v>6.5306122448979593</c:v>
                </c:pt>
                <c:pt idx="63">
                  <c:v>5.1546391752577323</c:v>
                </c:pt>
                <c:pt idx="64">
                  <c:v>6.1983471074380168</c:v>
                </c:pt>
                <c:pt idx="65">
                  <c:v>6.666666666666667</c:v>
                </c:pt>
                <c:pt idx="66">
                  <c:v>8.1896551724137936</c:v>
                </c:pt>
                <c:pt idx="67">
                  <c:v>5.4761904761904763</c:v>
                </c:pt>
                <c:pt idx="68">
                  <c:v>3.2941176470588234</c:v>
                </c:pt>
                <c:pt idx="69">
                  <c:v>5.3459119496855347</c:v>
                </c:pt>
                <c:pt idx="70">
                  <c:v>7.3825503355704694</c:v>
                </c:pt>
                <c:pt idx="71">
                  <c:v>11.060606060606061</c:v>
                </c:pt>
                <c:pt idx="72">
                  <c:v>7.1052631578947372</c:v>
                </c:pt>
                <c:pt idx="73">
                  <c:v>6.774193548387097</c:v>
                </c:pt>
                <c:pt idx="74">
                  <c:v>6.2595419847328246</c:v>
                </c:pt>
                <c:pt idx="75">
                  <c:v>6.7647058823529411</c:v>
                </c:pt>
                <c:pt idx="76">
                  <c:v>6.4275037369207775</c:v>
                </c:pt>
                <c:pt idx="77">
                  <c:v>7.0866141732283463</c:v>
                </c:pt>
                <c:pt idx="78">
                  <c:v>6.3862928348909653</c:v>
                </c:pt>
                <c:pt idx="79">
                  <c:v>4.1420118343195265</c:v>
                </c:pt>
                <c:pt idx="80">
                  <c:v>5.7142857142857144</c:v>
                </c:pt>
                <c:pt idx="81">
                  <c:v>5.6426332288401255</c:v>
                </c:pt>
                <c:pt idx="82">
                  <c:v>1.4141414141414141</c:v>
                </c:pt>
                <c:pt idx="83">
                  <c:v>7.8986587183308492</c:v>
                </c:pt>
                <c:pt idx="84">
                  <c:v>7.9545454545454541</c:v>
                </c:pt>
                <c:pt idx="85">
                  <c:v>5.7347670250896057</c:v>
                </c:pt>
                <c:pt idx="86">
                  <c:v>7.580645161290323</c:v>
                </c:pt>
                <c:pt idx="87">
                  <c:v>7.3800738007380078</c:v>
                </c:pt>
                <c:pt idx="88">
                  <c:v>6.8783068783068781</c:v>
                </c:pt>
                <c:pt idx="89">
                  <c:v>9.2391304347826093</c:v>
                </c:pt>
                <c:pt idx="90">
                  <c:v>7.8804347826086953</c:v>
                </c:pt>
                <c:pt idx="91">
                  <c:v>3.4682080924855492</c:v>
                </c:pt>
                <c:pt idx="92">
                  <c:v>10.597302504816955</c:v>
                </c:pt>
                <c:pt idx="93">
                  <c:v>6.1611374407582939</c:v>
                </c:pt>
                <c:pt idx="94">
                  <c:v>5.2109181141439205</c:v>
                </c:pt>
                <c:pt idx="95">
                  <c:v>10.377358490566039</c:v>
                </c:pt>
                <c:pt idx="96">
                  <c:v>12.650985378258106</c:v>
                </c:pt>
                <c:pt idx="97">
                  <c:v>13.4375</c:v>
                </c:pt>
                <c:pt idx="98">
                  <c:v>6.4516129032258061</c:v>
                </c:pt>
                <c:pt idx="99">
                  <c:v>6.4794816414686824</c:v>
                </c:pt>
                <c:pt idx="100">
                  <c:v>0</c:v>
                </c:pt>
                <c:pt idx="101">
                  <c:v>3.5460992907801416</c:v>
                </c:pt>
                <c:pt idx="102">
                  <c:v>11.926605504587156</c:v>
                </c:pt>
                <c:pt idx="103">
                  <c:v>4.7945205479452051</c:v>
                </c:pt>
              </c:numCache>
            </c:numRef>
          </c:yVal>
          <c:bubbleSize>
            <c:numRef>
              <c:f>'Мособлдума одномандатный'!$I$2:$I$105</c:f>
              <c:numCache>
                <c:formatCode>General</c:formatCode>
                <c:ptCount val="104"/>
                <c:pt idx="0">
                  <c:v>686</c:v>
                </c:pt>
                <c:pt idx="1">
                  <c:v>1338</c:v>
                </c:pt>
                <c:pt idx="2">
                  <c:v>1083</c:v>
                </c:pt>
                <c:pt idx="3">
                  <c:v>1508</c:v>
                </c:pt>
                <c:pt idx="4">
                  <c:v>1446</c:v>
                </c:pt>
                <c:pt idx="5">
                  <c:v>1286</c:v>
                </c:pt>
                <c:pt idx="6">
                  <c:v>1105</c:v>
                </c:pt>
                <c:pt idx="7">
                  <c:v>1709</c:v>
                </c:pt>
                <c:pt idx="8">
                  <c:v>1390</c:v>
                </c:pt>
                <c:pt idx="9">
                  <c:v>1333</c:v>
                </c:pt>
                <c:pt idx="10">
                  <c:v>1430</c:v>
                </c:pt>
                <c:pt idx="11">
                  <c:v>1038</c:v>
                </c:pt>
                <c:pt idx="12">
                  <c:v>959</c:v>
                </c:pt>
                <c:pt idx="13">
                  <c:v>1477</c:v>
                </c:pt>
                <c:pt idx="14">
                  <c:v>1129</c:v>
                </c:pt>
                <c:pt idx="15">
                  <c:v>1431</c:v>
                </c:pt>
                <c:pt idx="16">
                  <c:v>1118</c:v>
                </c:pt>
                <c:pt idx="17">
                  <c:v>1091</c:v>
                </c:pt>
                <c:pt idx="18">
                  <c:v>353</c:v>
                </c:pt>
                <c:pt idx="19">
                  <c:v>1499</c:v>
                </c:pt>
                <c:pt idx="20">
                  <c:v>1589</c:v>
                </c:pt>
                <c:pt idx="21">
                  <c:v>1373</c:v>
                </c:pt>
                <c:pt idx="22">
                  <c:v>817</c:v>
                </c:pt>
                <c:pt idx="23">
                  <c:v>860</c:v>
                </c:pt>
                <c:pt idx="24">
                  <c:v>1104</c:v>
                </c:pt>
                <c:pt idx="25">
                  <c:v>2848</c:v>
                </c:pt>
                <c:pt idx="26">
                  <c:v>2272</c:v>
                </c:pt>
                <c:pt idx="27">
                  <c:v>1797</c:v>
                </c:pt>
                <c:pt idx="28">
                  <c:v>1709</c:v>
                </c:pt>
                <c:pt idx="29">
                  <c:v>1229</c:v>
                </c:pt>
                <c:pt idx="30">
                  <c:v>1969</c:v>
                </c:pt>
                <c:pt idx="31">
                  <c:v>1144</c:v>
                </c:pt>
                <c:pt idx="32">
                  <c:v>452</c:v>
                </c:pt>
                <c:pt idx="33">
                  <c:v>1295</c:v>
                </c:pt>
                <c:pt idx="34">
                  <c:v>2204</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243</c:v>
                </c:pt>
                <c:pt idx="51">
                  <c:v>172</c:v>
                </c:pt>
                <c:pt idx="52">
                  <c:v>334</c:v>
                </c:pt>
                <c:pt idx="53">
                  <c:v>1576</c:v>
                </c:pt>
                <c:pt idx="54">
                  <c:v>1614</c:v>
                </c:pt>
                <c:pt idx="55">
                  <c:v>1116</c:v>
                </c:pt>
                <c:pt idx="56">
                  <c:v>1941</c:v>
                </c:pt>
                <c:pt idx="57">
                  <c:v>1977</c:v>
                </c:pt>
                <c:pt idx="58">
                  <c:v>1599</c:v>
                </c:pt>
                <c:pt idx="59">
                  <c:v>1295</c:v>
                </c:pt>
                <c:pt idx="60">
                  <c:v>1125</c:v>
                </c:pt>
                <c:pt idx="61">
                  <c:v>647</c:v>
                </c:pt>
                <c:pt idx="62">
                  <c:v>1408</c:v>
                </c:pt>
                <c:pt idx="63">
                  <c:v>1058</c:v>
                </c:pt>
                <c:pt idx="64">
                  <c:v>1406</c:v>
                </c:pt>
                <c:pt idx="65">
                  <c:v>1087</c:v>
                </c:pt>
                <c:pt idx="66">
                  <c:v>1253</c:v>
                </c:pt>
                <c:pt idx="67">
                  <c:v>1203</c:v>
                </c:pt>
                <c:pt idx="68">
                  <c:v>1269</c:v>
                </c:pt>
                <c:pt idx="69">
                  <c:v>804</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1741</c:v>
                </c:pt>
                <c:pt idx="95">
                  <c:v>1164</c:v>
                </c:pt>
                <c:pt idx="96">
                  <c:v>3346</c:v>
                </c:pt>
                <c:pt idx="97">
                  <c:v>1981</c:v>
                </c:pt>
                <c:pt idx="98">
                  <c:v>1966</c:v>
                </c:pt>
                <c:pt idx="99">
                  <c:v>1171</c:v>
                </c:pt>
                <c:pt idx="100">
                  <c:v>19</c:v>
                </c:pt>
                <c:pt idx="101">
                  <c:v>176</c:v>
                </c:pt>
                <c:pt idx="102">
                  <c:v>113</c:v>
                </c:pt>
                <c:pt idx="103">
                  <c:v>162</c:v>
                </c:pt>
              </c:numCache>
            </c:numRef>
          </c:bubbleSize>
          <c:bubble3D val="0"/>
          <c:extLst>
            <c:ext xmlns:c16="http://schemas.microsoft.com/office/drawing/2014/chart" uri="{C3380CC4-5D6E-409C-BE32-E72D297353CC}">
              <c16:uniqueId val="{00000004-0635-4CC9-A990-39CC245ADBA1}"/>
            </c:ext>
          </c:extLst>
        </c:ser>
        <c:ser>
          <c:idx val="13"/>
          <c:order val="5"/>
          <c:tx>
            <c:strRef>
              <c:f>'Мособлдума одномандатный'!$AK$1</c:f>
              <c:strCache>
                <c:ptCount val="1"/>
                <c:pt idx="0">
                  <c:v>Рожнов (Единая Россия)</c:v>
                </c:pt>
              </c:strCache>
            </c:strRef>
          </c:tx>
          <c:spPr>
            <a:solidFill>
              <a:srgbClr val="0000FF">
                <a:alpha val="49804"/>
              </a:srgbClr>
            </a:solidFill>
            <a:ln w="25400"/>
          </c:spPr>
          <c:invertIfNegative val="0"/>
          <c:xVal>
            <c:numRef>
              <c:f>'Мособлдума одномандатный'!$N$2:$N$105</c:f>
              <c:numCache>
                <c:formatCode>0.0</c:formatCode>
                <c:ptCount val="104"/>
                <c:pt idx="0">
                  <c:v>39.212827988338191</c:v>
                </c:pt>
                <c:pt idx="1">
                  <c:v>38.041853512705529</c:v>
                </c:pt>
                <c:pt idx="2">
                  <c:v>39.427516158818101</c:v>
                </c:pt>
                <c:pt idx="3">
                  <c:v>39.854111405835546</c:v>
                </c:pt>
                <c:pt idx="4">
                  <c:v>33.264177040110653</c:v>
                </c:pt>
                <c:pt idx="5">
                  <c:v>42.690513219284604</c:v>
                </c:pt>
                <c:pt idx="6">
                  <c:v>43.348416289592762</c:v>
                </c:pt>
                <c:pt idx="7">
                  <c:v>38.736102984201288</c:v>
                </c:pt>
                <c:pt idx="8">
                  <c:v>39.352517985611513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39.505041246562783</c:v>
                </c:pt>
                <c:pt idx="18">
                  <c:v>47.592067988668553</c:v>
                </c:pt>
                <c:pt idx="19">
                  <c:v>42.895263509006007</c:v>
                </c:pt>
                <c:pt idx="20">
                  <c:v>40.27690371302706</c:v>
                </c:pt>
                <c:pt idx="21">
                  <c:v>37.29060451565914</c:v>
                </c:pt>
                <c:pt idx="22">
                  <c:v>100</c:v>
                </c:pt>
                <c:pt idx="23">
                  <c:v>32.906976744186046</c:v>
                </c:pt>
                <c:pt idx="24">
                  <c:v>34.60144927536232</c:v>
                </c:pt>
                <c:pt idx="25">
                  <c:v>46.629213483146067</c:v>
                </c:pt>
                <c:pt idx="26">
                  <c:v>63.160211267605632</c:v>
                </c:pt>
                <c:pt idx="27">
                  <c:v>54.368391764051196</c:v>
                </c:pt>
                <c:pt idx="28">
                  <c:v>51.082504388531305</c:v>
                </c:pt>
                <c:pt idx="29">
                  <c:v>35.150528885272578</c:v>
                </c:pt>
                <c:pt idx="30">
                  <c:v>68.105637379380397</c:v>
                </c:pt>
                <c:pt idx="31">
                  <c:v>40.2972027972028</c:v>
                </c:pt>
                <c:pt idx="32">
                  <c:v>61.283185840707965</c:v>
                </c:pt>
                <c:pt idx="33">
                  <c:v>47.104247104247101</c:v>
                </c:pt>
                <c:pt idx="34">
                  <c:v>34.255898366606168</c:v>
                </c:pt>
                <c:pt idx="35">
                  <c:v>64.880382775119614</c:v>
                </c:pt>
                <c:pt idx="36">
                  <c:v>59.744094488188978</c:v>
                </c:pt>
                <c:pt idx="37">
                  <c:v>53.713768115942031</c:v>
                </c:pt>
                <c:pt idx="38">
                  <c:v>76.283367556468178</c:v>
                </c:pt>
                <c:pt idx="39">
                  <c:v>34.335664335664333</c:v>
                </c:pt>
                <c:pt idx="40">
                  <c:v>42.814814814814817</c:v>
                </c:pt>
                <c:pt idx="41">
                  <c:v>31.17134559535334</c:v>
                </c:pt>
                <c:pt idx="42">
                  <c:v>59.070598748882929</c:v>
                </c:pt>
                <c:pt idx="43">
                  <c:v>37.272727272727273</c:v>
                </c:pt>
                <c:pt idx="44">
                  <c:v>29.840142095914743</c:v>
                </c:pt>
                <c:pt idx="45">
                  <c:v>42.738589211618255</c:v>
                </c:pt>
                <c:pt idx="46">
                  <c:v>39.080459770114942</c:v>
                </c:pt>
                <c:pt idx="47">
                  <c:v>35.185185185185183</c:v>
                </c:pt>
                <c:pt idx="48">
                  <c:v>41.260973663208297</c:v>
                </c:pt>
                <c:pt idx="49">
                  <c:v>34.392374900714856</c:v>
                </c:pt>
                <c:pt idx="50">
                  <c:v>35.802469135802468</c:v>
                </c:pt>
                <c:pt idx="51">
                  <c:v>40.697674418604649</c:v>
                </c:pt>
                <c:pt idx="52">
                  <c:v>36.526946107784433</c:v>
                </c:pt>
                <c:pt idx="53">
                  <c:v>30.076142131979694</c:v>
                </c:pt>
                <c:pt idx="54">
                  <c:v>34.696406443618336</c:v>
                </c:pt>
                <c:pt idx="55">
                  <c:v>41.666666666666664</c:v>
                </c:pt>
                <c:pt idx="56">
                  <c:v>56.774858320453376</c:v>
                </c:pt>
                <c:pt idx="57">
                  <c:v>62.721294891249364</c:v>
                </c:pt>
                <c:pt idx="58">
                  <c:v>79.737335834896811</c:v>
                </c:pt>
                <c:pt idx="59">
                  <c:v>24.555984555984555</c:v>
                </c:pt>
                <c:pt idx="60">
                  <c:v>34.666666666666664</c:v>
                </c:pt>
                <c:pt idx="61">
                  <c:v>100</c:v>
                </c:pt>
                <c:pt idx="62">
                  <c:v>34.801136363636367</c:v>
                </c:pt>
                <c:pt idx="63">
                  <c:v>36.672967863894137</c:v>
                </c:pt>
                <c:pt idx="64">
                  <c:v>34.423897581792318</c:v>
                </c:pt>
                <c:pt idx="65">
                  <c:v>40.018399264029441</c:v>
                </c:pt>
                <c:pt idx="66">
                  <c:v>37.031125299281726</c:v>
                </c:pt>
                <c:pt idx="67">
                  <c:v>34.912718204488776</c:v>
                </c:pt>
                <c:pt idx="68">
                  <c:v>33.490937746256897</c:v>
                </c:pt>
                <c:pt idx="69">
                  <c:v>39.552238805970148</c:v>
                </c:pt>
                <c:pt idx="70">
                  <c:v>26.846846846846848</c:v>
                </c:pt>
                <c:pt idx="71">
                  <c:v>32.449680903289149</c:v>
                </c:pt>
                <c:pt idx="72">
                  <c:v>59.467918622848202</c:v>
                </c:pt>
                <c:pt idx="73">
                  <c:v>49.481245011971268</c:v>
                </c:pt>
                <c:pt idx="74">
                  <c:v>51.4937106918239</c:v>
                </c:pt>
                <c:pt idx="75">
                  <c:v>45.822102425876011</c:v>
                </c:pt>
                <c:pt idx="76">
                  <c:v>54.390243902439025</c:v>
                </c:pt>
                <c:pt idx="77">
                  <c:v>54.835924006908463</c:v>
                </c:pt>
                <c:pt idx="78">
                  <c:v>58.416742493175612</c:v>
                </c:pt>
                <c:pt idx="79">
                  <c:v>73.318872017353584</c:v>
                </c:pt>
                <c:pt idx="80">
                  <c:v>52.941176470588232</c:v>
                </c:pt>
                <c:pt idx="81">
                  <c:v>48.114630467571644</c:v>
                </c:pt>
                <c:pt idx="82">
                  <c:v>45.288197621225983</c:v>
                </c:pt>
                <c:pt idx="83">
                  <c:v>32.228626320845343</c:v>
                </c:pt>
                <c:pt idx="84">
                  <c:v>48.853754940711461</c:v>
                </c:pt>
                <c:pt idx="85">
                  <c:v>48.4375</c:v>
                </c:pt>
                <c:pt idx="86">
                  <c:v>51.324503311258276</c:v>
                </c:pt>
                <c:pt idx="87">
                  <c:v>35.529715762273902</c:v>
                </c:pt>
                <c:pt idx="88">
                  <c:v>38.928939237899073</c:v>
                </c:pt>
                <c:pt idx="89">
                  <c:v>32.480141218005294</c:v>
                </c:pt>
                <c:pt idx="90">
                  <c:v>38.397502601456814</c:v>
                </c:pt>
                <c:pt idx="91">
                  <c:v>54.0625</c:v>
                </c:pt>
                <c:pt idx="92">
                  <c:v>39.892390468870097</c:v>
                </c:pt>
                <c:pt idx="93">
                  <c:v>46.120218579234972</c:v>
                </c:pt>
                <c:pt idx="94">
                  <c:v>23.147616312464102</c:v>
                </c:pt>
                <c:pt idx="95">
                  <c:v>36.426116838487971</c:v>
                </c:pt>
                <c:pt idx="96">
                  <c:v>47.011356843992829</c:v>
                </c:pt>
                <c:pt idx="97">
                  <c:v>64.613831398283693</c:v>
                </c:pt>
                <c:pt idx="98">
                  <c:v>55.188199389623598</c:v>
                </c:pt>
                <c:pt idx="99">
                  <c:v>39.53885567890692</c:v>
                </c:pt>
                <c:pt idx="100">
                  <c:v>100</c:v>
                </c:pt>
                <c:pt idx="101">
                  <c:v>80.11363636363636</c:v>
                </c:pt>
                <c:pt idx="102">
                  <c:v>96.460176991150448</c:v>
                </c:pt>
                <c:pt idx="103">
                  <c:v>90.123456790123456</c:v>
                </c:pt>
              </c:numCache>
            </c:numRef>
          </c:xVal>
          <c:yVal>
            <c:numRef>
              <c:f>'Мособлдума одномандатный'!$AK$2:$AK$105</c:f>
              <c:numCache>
                <c:formatCode>0.0</c:formatCode>
                <c:ptCount val="104"/>
                <c:pt idx="0">
                  <c:v>35.315985130111521</c:v>
                </c:pt>
                <c:pt idx="1">
                  <c:v>36.738703339882122</c:v>
                </c:pt>
                <c:pt idx="2">
                  <c:v>49.180327868852459</c:v>
                </c:pt>
                <c:pt idx="3">
                  <c:v>35.940099833610645</c:v>
                </c:pt>
                <c:pt idx="4">
                  <c:v>51.975051975051976</c:v>
                </c:pt>
                <c:pt idx="5">
                  <c:v>37.477148080438759</c:v>
                </c:pt>
                <c:pt idx="6">
                  <c:v>35.77405857740586</c:v>
                </c:pt>
                <c:pt idx="7">
                  <c:v>36.404833836858003</c:v>
                </c:pt>
                <c:pt idx="8">
                  <c:v>33.455210237659962</c:v>
                </c:pt>
                <c:pt idx="9">
                  <c:v>36.595744680851062</c:v>
                </c:pt>
                <c:pt idx="10">
                  <c:v>36.236933797909408</c:v>
                </c:pt>
                <c:pt idx="11">
                  <c:v>32.487309644670049</c:v>
                </c:pt>
                <c:pt idx="12">
                  <c:v>37.535816618911177</c:v>
                </c:pt>
                <c:pt idx="13">
                  <c:v>38.636363636363633</c:v>
                </c:pt>
                <c:pt idx="14">
                  <c:v>35.324675324675326</c:v>
                </c:pt>
                <c:pt idx="15">
                  <c:v>30.652173913043477</c:v>
                </c:pt>
                <c:pt idx="16">
                  <c:v>34.718826405867972</c:v>
                </c:pt>
                <c:pt idx="17">
                  <c:v>34.80278422273782</c:v>
                </c:pt>
                <c:pt idx="18">
                  <c:v>47.023809523809526</c:v>
                </c:pt>
                <c:pt idx="19">
                  <c:v>33.748055987558324</c:v>
                </c:pt>
                <c:pt idx="20">
                  <c:v>35.625</c:v>
                </c:pt>
                <c:pt idx="21">
                  <c:v>49.4140625</c:v>
                </c:pt>
                <c:pt idx="22">
                  <c:v>82.986536107711132</c:v>
                </c:pt>
                <c:pt idx="23">
                  <c:v>42.402826855123678</c:v>
                </c:pt>
                <c:pt idx="24">
                  <c:v>34.031413612565444</c:v>
                </c:pt>
                <c:pt idx="25">
                  <c:v>33.810240963855421</c:v>
                </c:pt>
                <c:pt idx="26">
                  <c:v>69.895470383275267</c:v>
                </c:pt>
                <c:pt idx="27">
                  <c:v>48.51586489252815</c:v>
                </c:pt>
                <c:pt idx="28">
                  <c:v>46.391752577319586</c:v>
                </c:pt>
                <c:pt idx="29">
                  <c:v>35.879629629629626</c:v>
                </c:pt>
                <c:pt idx="30">
                  <c:v>43.325876211782251</c:v>
                </c:pt>
                <c:pt idx="31">
                  <c:v>30.585683297180044</c:v>
                </c:pt>
                <c:pt idx="32">
                  <c:v>59.927797833935017</c:v>
                </c:pt>
                <c:pt idx="33">
                  <c:v>50.983606557377051</c:v>
                </c:pt>
                <c:pt idx="34">
                  <c:v>44.370860927152314</c:v>
                </c:pt>
                <c:pt idx="35">
                  <c:v>63.864306784660769</c:v>
                </c:pt>
                <c:pt idx="36">
                  <c:v>61.449752883031302</c:v>
                </c:pt>
                <c:pt idx="37">
                  <c:v>63.743676222596967</c:v>
                </c:pt>
                <c:pt idx="38">
                  <c:v>57.412398921832882</c:v>
                </c:pt>
                <c:pt idx="39">
                  <c:v>50.509164969450104</c:v>
                </c:pt>
                <c:pt idx="40">
                  <c:v>54.555940023068054</c:v>
                </c:pt>
                <c:pt idx="41">
                  <c:v>28.260869565217391</c:v>
                </c:pt>
                <c:pt idx="42">
                  <c:v>55.824508320726174</c:v>
                </c:pt>
                <c:pt idx="43">
                  <c:v>49.237804878048777</c:v>
                </c:pt>
                <c:pt idx="44">
                  <c:v>42.55952380952381</c:v>
                </c:pt>
                <c:pt idx="45">
                  <c:v>54.368932038834949</c:v>
                </c:pt>
                <c:pt idx="46">
                  <c:v>24.579831932773111</c:v>
                </c:pt>
                <c:pt idx="47">
                  <c:v>52.363960749330957</c:v>
                </c:pt>
                <c:pt idx="48">
                  <c:v>37.524177949709866</c:v>
                </c:pt>
                <c:pt idx="49">
                  <c:v>25.866050808314089</c:v>
                </c:pt>
                <c:pt idx="50">
                  <c:v>29.885057471264368</c:v>
                </c:pt>
                <c:pt idx="51">
                  <c:v>22.857142857142858</c:v>
                </c:pt>
                <c:pt idx="52">
                  <c:v>18.032786885245901</c:v>
                </c:pt>
                <c:pt idx="53">
                  <c:v>35.021097046413502</c:v>
                </c:pt>
                <c:pt idx="54">
                  <c:v>36.964285714285715</c:v>
                </c:pt>
                <c:pt idx="55">
                  <c:v>33.763440860215056</c:v>
                </c:pt>
                <c:pt idx="56">
                  <c:v>42.740471869328495</c:v>
                </c:pt>
                <c:pt idx="57">
                  <c:v>34.274193548387096</c:v>
                </c:pt>
                <c:pt idx="58">
                  <c:v>42.823529411764703</c:v>
                </c:pt>
                <c:pt idx="59">
                  <c:v>26.10062893081761</c:v>
                </c:pt>
                <c:pt idx="60">
                  <c:v>23.333333333333332</c:v>
                </c:pt>
                <c:pt idx="61">
                  <c:v>61.051004636785166</c:v>
                </c:pt>
                <c:pt idx="62">
                  <c:v>24.489795918367346</c:v>
                </c:pt>
                <c:pt idx="63">
                  <c:v>30.412371134020617</c:v>
                </c:pt>
                <c:pt idx="64">
                  <c:v>32.438016528925623</c:v>
                </c:pt>
                <c:pt idx="65">
                  <c:v>32.413793103448278</c:v>
                </c:pt>
                <c:pt idx="66">
                  <c:v>25.646551724137932</c:v>
                </c:pt>
                <c:pt idx="67">
                  <c:v>26.19047619047619</c:v>
                </c:pt>
                <c:pt idx="68">
                  <c:v>42.823529411764703</c:v>
                </c:pt>
                <c:pt idx="69">
                  <c:v>36.79245283018868</c:v>
                </c:pt>
                <c:pt idx="70">
                  <c:v>21.476510067114095</c:v>
                </c:pt>
                <c:pt idx="71">
                  <c:v>28.181818181818183</c:v>
                </c:pt>
                <c:pt idx="72">
                  <c:v>62.368421052631582</c:v>
                </c:pt>
                <c:pt idx="73">
                  <c:v>52.41935483870968</c:v>
                </c:pt>
                <c:pt idx="74">
                  <c:v>52.824427480916029</c:v>
                </c:pt>
                <c:pt idx="75">
                  <c:v>55</c:v>
                </c:pt>
                <c:pt idx="76">
                  <c:v>60.08968609865471</c:v>
                </c:pt>
                <c:pt idx="77">
                  <c:v>45.511811023622045</c:v>
                </c:pt>
                <c:pt idx="78">
                  <c:v>50.467289719626166</c:v>
                </c:pt>
                <c:pt idx="79">
                  <c:v>55.029585798816569</c:v>
                </c:pt>
                <c:pt idx="80">
                  <c:v>35.064935064935064</c:v>
                </c:pt>
                <c:pt idx="81">
                  <c:v>41.065830721003138</c:v>
                </c:pt>
                <c:pt idx="82">
                  <c:v>78.585858585858588</c:v>
                </c:pt>
                <c:pt idx="83">
                  <c:v>32.488822652757079</c:v>
                </c:pt>
                <c:pt idx="84">
                  <c:v>41.883116883116884</c:v>
                </c:pt>
                <c:pt idx="85">
                  <c:v>55.555555555555557</c:v>
                </c:pt>
                <c:pt idx="86">
                  <c:v>45</c:v>
                </c:pt>
                <c:pt idx="87">
                  <c:v>35.608856088560884</c:v>
                </c:pt>
                <c:pt idx="88">
                  <c:v>32.539682539682538</c:v>
                </c:pt>
                <c:pt idx="89">
                  <c:v>34.782608695652172</c:v>
                </c:pt>
                <c:pt idx="90">
                  <c:v>31.793478260869566</c:v>
                </c:pt>
                <c:pt idx="91">
                  <c:v>61.994219653179194</c:v>
                </c:pt>
                <c:pt idx="92">
                  <c:v>33.140655105973025</c:v>
                </c:pt>
                <c:pt idx="93">
                  <c:v>62.322274881516584</c:v>
                </c:pt>
                <c:pt idx="94">
                  <c:v>31.017369727047146</c:v>
                </c:pt>
                <c:pt idx="95">
                  <c:v>31.132075471698112</c:v>
                </c:pt>
                <c:pt idx="96">
                  <c:v>37.889383343928799</c:v>
                </c:pt>
                <c:pt idx="97">
                  <c:v>34.375</c:v>
                </c:pt>
                <c:pt idx="98">
                  <c:v>79.170506912442391</c:v>
                </c:pt>
                <c:pt idx="99">
                  <c:v>28.941684665226781</c:v>
                </c:pt>
                <c:pt idx="100">
                  <c:v>63.157894736842103</c:v>
                </c:pt>
                <c:pt idx="101">
                  <c:v>79.432624113475171</c:v>
                </c:pt>
                <c:pt idx="102">
                  <c:v>45.871559633027523</c:v>
                </c:pt>
                <c:pt idx="103">
                  <c:v>58.219178082191782</c:v>
                </c:pt>
              </c:numCache>
            </c:numRef>
          </c:yVal>
          <c:bubbleSize>
            <c:numRef>
              <c:f>'Мособлдума одномандатный'!$I$2:$I$105</c:f>
              <c:numCache>
                <c:formatCode>General</c:formatCode>
                <c:ptCount val="104"/>
                <c:pt idx="0">
                  <c:v>686</c:v>
                </c:pt>
                <c:pt idx="1">
                  <c:v>1338</c:v>
                </c:pt>
                <c:pt idx="2">
                  <c:v>1083</c:v>
                </c:pt>
                <c:pt idx="3">
                  <c:v>1508</c:v>
                </c:pt>
                <c:pt idx="4">
                  <c:v>1446</c:v>
                </c:pt>
                <c:pt idx="5">
                  <c:v>1286</c:v>
                </c:pt>
                <c:pt idx="6">
                  <c:v>1105</c:v>
                </c:pt>
                <c:pt idx="7">
                  <c:v>1709</c:v>
                </c:pt>
                <c:pt idx="8">
                  <c:v>1390</c:v>
                </c:pt>
                <c:pt idx="9">
                  <c:v>1333</c:v>
                </c:pt>
                <c:pt idx="10">
                  <c:v>1430</c:v>
                </c:pt>
                <c:pt idx="11">
                  <c:v>1038</c:v>
                </c:pt>
                <c:pt idx="12">
                  <c:v>959</c:v>
                </c:pt>
                <c:pt idx="13">
                  <c:v>1477</c:v>
                </c:pt>
                <c:pt idx="14">
                  <c:v>1129</c:v>
                </c:pt>
                <c:pt idx="15">
                  <c:v>1431</c:v>
                </c:pt>
                <c:pt idx="16">
                  <c:v>1118</c:v>
                </c:pt>
                <c:pt idx="17">
                  <c:v>1091</c:v>
                </c:pt>
                <c:pt idx="18">
                  <c:v>353</c:v>
                </c:pt>
                <c:pt idx="19">
                  <c:v>1499</c:v>
                </c:pt>
                <c:pt idx="20">
                  <c:v>1589</c:v>
                </c:pt>
                <c:pt idx="21">
                  <c:v>1373</c:v>
                </c:pt>
                <c:pt idx="22">
                  <c:v>817</c:v>
                </c:pt>
                <c:pt idx="23">
                  <c:v>860</c:v>
                </c:pt>
                <c:pt idx="24">
                  <c:v>1104</c:v>
                </c:pt>
                <c:pt idx="25">
                  <c:v>2848</c:v>
                </c:pt>
                <c:pt idx="26">
                  <c:v>2272</c:v>
                </c:pt>
                <c:pt idx="27">
                  <c:v>1797</c:v>
                </c:pt>
                <c:pt idx="28">
                  <c:v>1709</c:v>
                </c:pt>
                <c:pt idx="29">
                  <c:v>1229</c:v>
                </c:pt>
                <c:pt idx="30">
                  <c:v>1969</c:v>
                </c:pt>
                <c:pt idx="31">
                  <c:v>1144</c:v>
                </c:pt>
                <c:pt idx="32">
                  <c:v>452</c:v>
                </c:pt>
                <c:pt idx="33">
                  <c:v>1295</c:v>
                </c:pt>
                <c:pt idx="34">
                  <c:v>2204</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243</c:v>
                </c:pt>
                <c:pt idx="51">
                  <c:v>172</c:v>
                </c:pt>
                <c:pt idx="52">
                  <c:v>334</c:v>
                </c:pt>
                <c:pt idx="53">
                  <c:v>1576</c:v>
                </c:pt>
                <c:pt idx="54">
                  <c:v>1614</c:v>
                </c:pt>
                <c:pt idx="55">
                  <c:v>1116</c:v>
                </c:pt>
                <c:pt idx="56">
                  <c:v>1941</c:v>
                </c:pt>
                <c:pt idx="57">
                  <c:v>1977</c:v>
                </c:pt>
                <c:pt idx="58">
                  <c:v>1599</c:v>
                </c:pt>
                <c:pt idx="59">
                  <c:v>1295</c:v>
                </c:pt>
                <c:pt idx="60">
                  <c:v>1125</c:v>
                </c:pt>
                <c:pt idx="61">
                  <c:v>647</c:v>
                </c:pt>
                <c:pt idx="62">
                  <c:v>1408</c:v>
                </c:pt>
                <c:pt idx="63">
                  <c:v>1058</c:v>
                </c:pt>
                <c:pt idx="64">
                  <c:v>1406</c:v>
                </c:pt>
                <c:pt idx="65">
                  <c:v>1087</c:v>
                </c:pt>
                <c:pt idx="66">
                  <c:v>1253</c:v>
                </c:pt>
                <c:pt idx="67">
                  <c:v>1203</c:v>
                </c:pt>
                <c:pt idx="68">
                  <c:v>1269</c:v>
                </c:pt>
                <c:pt idx="69">
                  <c:v>804</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1741</c:v>
                </c:pt>
                <c:pt idx="95">
                  <c:v>1164</c:v>
                </c:pt>
                <c:pt idx="96">
                  <c:v>3346</c:v>
                </c:pt>
                <c:pt idx="97">
                  <c:v>1981</c:v>
                </c:pt>
                <c:pt idx="98">
                  <c:v>1966</c:v>
                </c:pt>
                <c:pt idx="99">
                  <c:v>1171</c:v>
                </c:pt>
                <c:pt idx="100">
                  <c:v>19</c:v>
                </c:pt>
                <c:pt idx="101">
                  <c:v>176</c:v>
                </c:pt>
                <c:pt idx="102">
                  <c:v>113</c:v>
                </c:pt>
                <c:pt idx="103">
                  <c:v>162</c:v>
                </c:pt>
              </c:numCache>
            </c:numRef>
          </c:bubbleSize>
          <c:bubble3D val="0"/>
          <c:extLst>
            <c:ext xmlns:c16="http://schemas.microsoft.com/office/drawing/2014/chart" uri="{C3380CC4-5D6E-409C-BE32-E72D297353CC}">
              <c16:uniqueId val="{00000005-0635-4CC9-A990-39CC245ADBA1}"/>
            </c:ext>
          </c:extLst>
        </c:ser>
        <c:ser>
          <c:idx val="0"/>
          <c:order val="6"/>
          <c:tx>
            <c:strRef>
              <c:f>'Мособлдума одномандатный'!$V$1</c:f>
              <c:strCache>
                <c:ptCount val="1"/>
                <c:pt idx="0">
                  <c:v>Недействительных</c:v>
                </c:pt>
              </c:strCache>
            </c:strRef>
          </c:tx>
          <c:spPr>
            <a:noFill/>
            <a:ln w="6350">
              <a:solidFill>
                <a:srgbClr val="000000"/>
              </a:solidFill>
            </a:ln>
          </c:spPr>
          <c:invertIfNegative val="0"/>
          <c:xVal>
            <c:numRef>
              <c:f>'Мособлдума одномандатный'!$N$2:$N$105</c:f>
              <c:numCache>
                <c:formatCode>0.0</c:formatCode>
                <c:ptCount val="104"/>
                <c:pt idx="0">
                  <c:v>39.212827988338191</c:v>
                </c:pt>
                <c:pt idx="1">
                  <c:v>38.041853512705529</c:v>
                </c:pt>
                <c:pt idx="2">
                  <c:v>39.427516158818101</c:v>
                </c:pt>
                <c:pt idx="3">
                  <c:v>39.854111405835546</c:v>
                </c:pt>
                <c:pt idx="4">
                  <c:v>33.264177040110653</c:v>
                </c:pt>
                <c:pt idx="5">
                  <c:v>42.690513219284604</c:v>
                </c:pt>
                <c:pt idx="6">
                  <c:v>43.348416289592762</c:v>
                </c:pt>
                <c:pt idx="7">
                  <c:v>38.736102984201288</c:v>
                </c:pt>
                <c:pt idx="8">
                  <c:v>39.352517985611513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39.505041246562783</c:v>
                </c:pt>
                <c:pt idx="18">
                  <c:v>47.592067988668553</c:v>
                </c:pt>
                <c:pt idx="19">
                  <c:v>42.895263509006007</c:v>
                </c:pt>
                <c:pt idx="20">
                  <c:v>40.27690371302706</c:v>
                </c:pt>
                <c:pt idx="21">
                  <c:v>37.29060451565914</c:v>
                </c:pt>
                <c:pt idx="22">
                  <c:v>100</c:v>
                </c:pt>
                <c:pt idx="23">
                  <c:v>32.906976744186046</c:v>
                </c:pt>
                <c:pt idx="24">
                  <c:v>34.60144927536232</c:v>
                </c:pt>
                <c:pt idx="25">
                  <c:v>46.629213483146067</c:v>
                </c:pt>
                <c:pt idx="26">
                  <c:v>63.160211267605632</c:v>
                </c:pt>
                <c:pt idx="27">
                  <c:v>54.368391764051196</c:v>
                </c:pt>
                <c:pt idx="28">
                  <c:v>51.082504388531305</c:v>
                </c:pt>
                <c:pt idx="29">
                  <c:v>35.150528885272578</c:v>
                </c:pt>
                <c:pt idx="30">
                  <c:v>68.105637379380397</c:v>
                </c:pt>
                <c:pt idx="31">
                  <c:v>40.2972027972028</c:v>
                </c:pt>
                <c:pt idx="32">
                  <c:v>61.283185840707965</c:v>
                </c:pt>
                <c:pt idx="33">
                  <c:v>47.104247104247101</c:v>
                </c:pt>
                <c:pt idx="34">
                  <c:v>34.255898366606168</c:v>
                </c:pt>
                <c:pt idx="35">
                  <c:v>64.880382775119614</c:v>
                </c:pt>
                <c:pt idx="36">
                  <c:v>59.744094488188978</c:v>
                </c:pt>
                <c:pt idx="37">
                  <c:v>53.713768115942031</c:v>
                </c:pt>
                <c:pt idx="38">
                  <c:v>76.283367556468178</c:v>
                </c:pt>
                <c:pt idx="39">
                  <c:v>34.335664335664333</c:v>
                </c:pt>
                <c:pt idx="40">
                  <c:v>42.814814814814817</c:v>
                </c:pt>
                <c:pt idx="41">
                  <c:v>31.17134559535334</c:v>
                </c:pt>
                <c:pt idx="42">
                  <c:v>59.070598748882929</c:v>
                </c:pt>
                <c:pt idx="43">
                  <c:v>37.272727272727273</c:v>
                </c:pt>
                <c:pt idx="44">
                  <c:v>29.840142095914743</c:v>
                </c:pt>
                <c:pt idx="45">
                  <c:v>42.738589211618255</c:v>
                </c:pt>
                <c:pt idx="46">
                  <c:v>39.080459770114942</c:v>
                </c:pt>
                <c:pt idx="47">
                  <c:v>35.185185185185183</c:v>
                </c:pt>
                <c:pt idx="48">
                  <c:v>41.260973663208297</c:v>
                </c:pt>
                <c:pt idx="49">
                  <c:v>34.392374900714856</c:v>
                </c:pt>
                <c:pt idx="50">
                  <c:v>35.802469135802468</c:v>
                </c:pt>
                <c:pt idx="51">
                  <c:v>40.697674418604649</c:v>
                </c:pt>
                <c:pt idx="52">
                  <c:v>36.526946107784433</c:v>
                </c:pt>
                <c:pt idx="53">
                  <c:v>30.076142131979694</c:v>
                </c:pt>
                <c:pt idx="54">
                  <c:v>34.696406443618336</c:v>
                </c:pt>
                <c:pt idx="55">
                  <c:v>41.666666666666664</c:v>
                </c:pt>
                <c:pt idx="56">
                  <c:v>56.774858320453376</c:v>
                </c:pt>
                <c:pt idx="57">
                  <c:v>62.721294891249364</c:v>
                </c:pt>
                <c:pt idx="58">
                  <c:v>79.737335834896811</c:v>
                </c:pt>
                <c:pt idx="59">
                  <c:v>24.555984555984555</c:v>
                </c:pt>
                <c:pt idx="60">
                  <c:v>34.666666666666664</c:v>
                </c:pt>
                <c:pt idx="61">
                  <c:v>100</c:v>
                </c:pt>
                <c:pt idx="62">
                  <c:v>34.801136363636367</c:v>
                </c:pt>
                <c:pt idx="63">
                  <c:v>36.672967863894137</c:v>
                </c:pt>
                <c:pt idx="64">
                  <c:v>34.423897581792318</c:v>
                </c:pt>
                <c:pt idx="65">
                  <c:v>40.018399264029441</c:v>
                </c:pt>
                <c:pt idx="66">
                  <c:v>37.031125299281726</c:v>
                </c:pt>
                <c:pt idx="67">
                  <c:v>34.912718204488776</c:v>
                </c:pt>
                <c:pt idx="68">
                  <c:v>33.490937746256897</c:v>
                </c:pt>
                <c:pt idx="69">
                  <c:v>39.552238805970148</c:v>
                </c:pt>
                <c:pt idx="70">
                  <c:v>26.846846846846848</c:v>
                </c:pt>
                <c:pt idx="71">
                  <c:v>32.449680903289149</c:v>
                </c:pt>
                <c:pt idx="72">
                  <c:v>59.467918622848202</c:v>
                </c:pt>
                <c:pt idx="73">
                  <c:v>49.481245011971268</c:v>
                </c:pt>
                <c:pt idx="74">
                  <c:v>51.4937106918239</c:v>
                </c:pt>
                <c:pt idx="75">
                  <c:v>45.822102425876011</c:v>
                </c:pt>
                <c:pt idx="76">
                  <c:v>54.390243902439025</c:v>
                </c:pt>
                <c:pt idx="77">
                  <c:v>54.835924006908463</c:v>
                </c:pt>
                <c:pt idx="78">
                  <c:v>58.416742493175612</c:v>
                </c:pt>
                <c:pt idx="79">
                  <c:v>73.318872017353584</c:v>
                </c:pt>
                <c:pt idx="80">
                  <c:v>52.941176470588232</c:v>
                </c:pt>
                <c:pt idx="81">
                  <c:v>48.114630467571644</c:v>
                </c:pt>
                <c:pt idx="82">
                  <c:v>45.288197621225983</c:v>
                </c:pt>
                <c:pt idx="83">
                  <c:v>32.228626320845343</c:v>
                </c:pt>
                <c:pt idx="84">
                  <c:v>48.853754940711461</c:v>
                </c:pt>
                <c:pt idx="85">
                  <c:v>48.4375</c:v>
                </c:pt>
                <c:pt idx="86">
                  <c:v>51.324503311258276</c:v>
                </c:pt>
                <c:pt idx="87">
                  <c:v>35.529715762273902</c:v>
                </c:pt>
                <c:pt idx="88">
                  <c:v>38.928939237899073</c:v>
                </c:pt>
                <c:pt idx="89">
                  <c:v>32.480141218005294</c:v>
                </c:pt>
                <c:pt idx="90">
                  <c:v>38.397502601456814</c:v>
                </c:pt>
                <c:pt idx="91">
                  <c:v>54.0625</c:v>
                </c:pt>
                <c:pt idx="92">
                  <c:v>39.892390468870097</c:v>
                </c:pt>
                <c:pt idx="93">
                  <c:v>46.120218579234972</c:v>
                </c:pt>
                <c:pt idx="94">
                  <c:v>23.147616312464102</c:v>
                </c:pt>
                <c:pt idx="95">
                  <c:v>36.426116838487971</c:v>
                </c:pt>
                <c:pt idx="96">
                  <c:v>47.011356843992829</c:v>
                </c:pt>
                <c:pt idx="97">
                  <c:v>64.613831398283693</c:v>
                </c:pt>
                <c:pt idx="98">
                  <c:v>55.188199389623598</c:v>
                </c:pt>
                <c:pt idx="99">
                  <c:v>39.53885567890692</c:v>
                </c:pt>
                <c:pt idx="100">
                  <c:v>100</c:v>
                </c:pt>
                <c:pt idx="101">
                  <c:v>80.11363636363636</c:v>
                </c:pt>
                <c:pt idx="102">
                  <c:v>96.460176991150448</c:v>
                </c:pt>
                <c:pt idx="103">
                  <c:v>90.123456790123456</c:v>
                </c:pt>
              </c:numCache>
            </c:numRef>
          </c:xVal>
          <c:yVal>
            <c:numRef>
              <c:f>'Мособлдума одномандатный'!$V$2:$V$105</c:f>
              <c:numCache>
                <c:formatCode>0.0</c:formatCode>
                <c:ptCount val="104"/>
                <c:pt idx="0">
                  <c:v>5.2044609665427508</c:v>
                </c:pt>
                <c:pt idx="1">
                  <c:v>8.840864440078585</c:v>
                </c:pt>
                <c:pt idx="2">
                  <c:v>4.4496487119437935</c:v>
                </c:pt>
                <c:pt idx="3">
                  <c:v>6.9883527454242929</c:v>
                </c:pt>
                <c:pt idx="4">
                  <c:v>6.2370062370062369</c:v>
                </c:pt>
                <c:pt idx="5">
                  <c:v>8.2266910420475323</c:v>
                </c:pt>
                <c:pt idx="6">
                  <c:v>4.3933054393305442</c:v>
                </c:pt>
                <c:pt idx="7">
                  <c:v>7.4018126888217521</c:v>
                </c:pt>
                <c:pt idx="8">
                  <c:v>3.8391224862888484</c:v>
                </c:pt>
                <c:pt idx="9">
                  <c:v>22.127659574468087</c:v>
                </c:pt>
                <c:pt idx="10">
                  <c:v>7.8397212543554007</c:v>
                </c:pt>
                <c:pt idx="11">
                  <c:v>7.3604060913705585</c:v>
                </c:pt>
                <c:pt idx="12">
                  <c:v>6.8767908309455583</c:v>
                </c:pt>
                <c:pt idx="13">
                  <c:v>8.1439393939393945</c:v>
                </c:pt>
                <c:pt idx="14">
                  <c:v>8.8311688311688314</c:v>
                </c:pt>
                <c:pt idx="15">
                  <c:v>11.304347826086957</c:v>
                </c:pt>
                <c:pt idx="16">
                  <c:v>8.5574572127139366</c:v>
                </c:pt>
                <c:pt idx="17">
                  <c:v>5.8004640371229694</c:v>
                </c:pt>
                <c:pt idx="18">
                  <c:v>2.9761904761904763</c:v>
                </c:pt>
                <c:pt idx="19">
                  <c:v>7.1539657853810263</c:v>
                </c:pt>
                <c:pt idx="20">
                  <c:v>7.03125</c:v>
                </c:pt>
                <c:pt idx="21">
                  <c:v>5.078125</c:v>
                </c:pt>
                <c:pt idx="22">
                  <c:v>0</c:v>
                </c:pt>
                <c:pt idx="23">
                  <c:v>28.268551236749115</c:v>
                </c:pt>
                <c:pt idx="24">
                  <c:v>8.1151832460732987</c:v>
                </c:pt>
                <c:pt idx="25">
                  <c:v>6.7018072289156629</c:v>
                </c:pt>
                <c:pt idx="26">
                  <c:v>2.8571428571428572</c:v>
                </c:pt>
                <c:pt idx="27">
                  <c:v>5.3224155578300918</c:v>
                </c:pt>
                <c:pt idx="28">
                  <c:v>6.9873997709049256</c:v>
                </c:pt>
                <c:pt idx="29">
                  <c:v>6.4814814814814818</c:v>
                </c:pt>
                <c:pt idx="30">
                  <c:v>5.8911260253542137</c:v>
                </c:pt>
                <c:pt idx="31">
                  <c:v>7.3752711496746208</c:v>
                </c:pt>
                <c:pt idx="32">
                  <c:v>1.0830324909747293</c:v>
                </c:pt>
                <c:pt idx="33">
                  <c:v>4.4262295081967213</c:v>
                </c:pt>
                <c:pt idx="34">
                  <c:v>2.7814569536423841</c:v>
                </c:pt>
                <c:pt idx="35">
                  <c:v>2.9498525073746311</c:v>
                </c:pt>
                <c:pt idx="36">
                  <c:v>3.1301482701812193</c:v>
                </c:pt>
                <c:pt idx="37">
                  <c:v>5.3962900505902196</c:v>
                </c:pt>
                <c:pt idx="38">
                  <c:v>18.194070080862534</c:v>
                </c:pt>
                <c:pt idx="39">
                  <c:v>2.6476578411405294</c:v>
                </c:pt>
                <c:pt idx="40">
                  <c:v>3.2295271049596308</c:v>
                </c:pt>
                <c:pt idx="41">
                  <c:v>8.695652173913043</c:v>
                </c:pt>
                <c:pt idx="42">
                  <c:v>5.5975794251134641</c:v>
                </c:pt>
                <c:pt idx="43">
                  <c:v>4.725609756097561</c:v>
                </c:pt>
                <c:pt idx="44">
                  <c:v>3.2738095238095237</c:v>
                </c:pt>
                <c:pt idx="45">
                  <c:v>3.883495145631068</c:v>
                </c:pt>
                <c:pt idx="46">
                  <c:v>9.4537815126050422</c:v>
                </c:pt>
                <c:pt idx="47">
                  <c:v>1.8733273862622659</c:v>
                </c:pt>
                <c:pt idx="48">
                  <c:v>8.5106382978723403</c:v>
                </c:pt>
                <c:pt idx="49">
                  <c:v>8.5450346420323324</c:v>
                </c:pt>
                <c:pt idx="50">
                  <c:v>8.0459770114942533</c:v>
                </c:pt>
                <c:pt idx="51">
                  <c:v>4.2857142857142856</c:v>
                </c:pt>
                <c:pt idx="52">
                  <c:v>9.8360655737704921</c:v>
                </c:pt>
                <c:pt idx="53">
                  <c:v>5.4852320675105481</c:v>
                </c:pt>
                <c:pt idx="54">
                  <c:v>3.9285714285714284</c:v>
                </c:pt>
                <c:pt idx="55">
                  <c:v>4.301075268817204</c:v>
                </c:pt>
                <c:pt idx="56">
                  <c:v>1.9963702359346642</c:v>
                </c:pt>
                <c:pt idx="57">
                  <c:v>2.8225806451612905</c:v>
                </c:pt>
                <c:pt idx="58">
                  <c:v>5.6470588235294121</c:v>
                </c:pt>
                <c:pt idx="59">
                  <c:v>7.5471698113207548</c:v>
                </c:pt>
                <c:pt idx="60">
                  <c:v>10.76923076923077</c:v>
                </c:pt>
                <c:pt idx="61">
                  <c:v>4.945904173106646</c:v>
                </c:pt>
                <c:pt idx="62">
                  <c:v>7.9591836734693882</c:v>
                </c:pt>
                <c:pt idx="63">
                  <c:v>5.927835051546392</c:v>
                </c:pt>
                <c:pt idx="64">
                  <c:v>6.1983471074380168</c:v>
                </c:pt>
                <c:pt idx="65">
                  <c:v>5.7471264367816088</c:v>
                </c:pt>
                <c:pt idx="66">
                  <c:v>3.2327586206896552</c:v>
                </c:pt>
                <c:pt idx="67">
                  <c:v>7.3809523809523814</c:v>
                </c:pt>
                <c:pt idx="68">
                  <c:v>4.4705882352941178</c:v>
                </c:pt>
                <c:pt idx="69">
                  <c:v>1.5723270440251573</c:v>
                </c:pt>
                <c:pt idx="70">
                  <c:v>5.3691275167785237</c:v>
                </c:pt>
                <c:pt idx="71">
                  <c:v>6.9696969696969697</c:v>
                </c:pt>
                <c:pt idx="72">
                  <c:v>6.3157894736842106</c:v>
                </c:pt>
                <c:pt idx="73">
                  <c:v>3.870967741935484</c:v>
                </c:pt>
                <c:pt idx="74">
                  <c:v>5.343511450381679</c:v>
                </c:pt>
                <c:pt idx="75">
                  <c:v>4.4117647058823533</c:v>
                </c:pt>
                <c:pt idx="76">
                  <c:v>1.195814648729447</c:v>
                </c:pt>
                <c:pt idx="77">
                  <c:v>8.1889763779527556</c:v>
                </c:pt>
                <c:pt idx="78">
                  <c:v>6.2305295950155761</c:v>
                </c:pt>
                <c:pt idx="79">
                  <c:v>8.5798816568047336</c:v>
                </c:pt>
                <c:pt idx="80">
                  <c:v>14.805194805194805</c:v>
                </c:pt>
                <c:pt idx="81">
                  <c:v>10.344827586206897</c:v>
                </c:pt>
                <c:pt idx="82">
                  <c:v>1.4141414141414141</c:v>
                </c:pt>
                <c:pt idx="83">
                  <c:v>5.216095380029806</c:v>
                </c:pt>
                <c:pt idx="84">
                  <c:v>6.4935064935064934</c:v>
                </c:pt>
                <c:pt idx="85">
                  <c:v>2.150537634408602</c:v>
                </c:pt>
                <c:pt idx="86">
                  <c:v>5.806451612903226</c:v>
                </c:pt>
                <c:pt idx="87">
                  <c:v>5.719557195571956</c:v>
                </c:pt>
                <c:pt idx="88">
                  <c:v>8.7301587301587293</c:v>
                </c:pt>
                <c:pt idx="89">
                  <c:v>10.597826086956522</c:v>
                </c:pt>
                <c:pt idx="90">
                  <c:v>9.2391304347826093</c:v>
                </c:pt>
                <c:pt idx="91">
                  <c:v>3.1791907514450868</c:v>
                </c:pt>
                <c:pt idx="92">
                  <c:v>9.2485549132947984</c:v>
                </c:pt>
                <c:pt idx="93">
                  <c:v>4.7393364928909953</c:v>
                </c:pt>
                <c:pt idx="94">
                  <c:v>7.1960297766749379</c:v>
                </c:pt>
                <c:pt idx="95">
                  <c:v>6.132075471698113</c:v>
                </c:pt>
                <c:pt idx="96">
                  <c:v>8.1373172282263191</c:v>
                </c:pt>
                <c:pt idx="97">
                  <c:v>6.484375</c:v>
                </c:pt>
                <c:pt idx="98">
                  <c:v>0.46082949308755761</c:v>
                </c:pt>
                <c:pt idx="99">
                  <c:v>7.1274298056155505</c:v>
                </c:pt>
                <c:pt idx="100">
                  <c:v>0</c:v>
                </c:pt>
                <c:pt idx="101">
                  <c:v>6.3829787234042552</c:v>
                </c:pt>
                <c:pt idx="102">
                  <c:v>3.669724770642202</c:v>
                </c:pt>
                <c:pt idx="103">
                  <c:v>5.4794520547945202</c:v>
                </c:pt>
              </c:numCache>
            </c:numRef>
          </c:yVal>
          <c:bubbleSize>
            <c:numRef>
              <c:f>'Мособлдума одномандатный'!$I$2:$I$105</c:f>
              <c:numCache>
                <c:formatCode>General</c:formatCode>
                <c:ptCount val="104"/>
                <c:pt idx="0">
                  <c:v>686</c:v>
                </c:pt>
                <c:pt idx="1">
                  <c:v>1338</c:v>
                </c:pt>
                <c:pt idx="2">
                  <c:v>1083</c:v>
                </c:pt>
                <c:pt idx="3">
                  <c:v>1508</c:v>
                </c:pt>
                <c:pt idx="4">
                  <c:v>1446</c:v>
                </c:pt>
                <c:pt idx="5">
                  <c:v>1286</c:v>
                </c:pt>
                <c:pt idx="6">
                  <c:v>1105</c:v>
                </c:pt>
                <c:pt idx="7">
                  <c:v>1709</c:v>
                </c:pt>
                <c:pt idx="8">
                  <c:v>1390</c:v>
                </c:pt>
                <c:pt idx="9">
                  <c:v>1333</c:v>
                </c:pt>
                <c:pt idx="10">
                  <c:v>1430</c:v>
                </c:pt>
                <c:pt idx="11">
                  <c:v>1038</c:v>
                </c:pt>
                <c:pt idx="12">
                  <c:v>959</c:v>
                </c:pt>
                <c:pt idx="13">
                  <c:v>1477</c:v>
                </c:pt>
                <c:pt idx="14">
                  <c:v>1129</c:v>
                </c:pt>
                <c:pt idx="15">
                  <c:v>1431</c:v>
                </c:pt>
                <c:pt idx="16">
                  <c:v>1118</c:v>
                </c:pt>
                <c:pt idx="17">
                  <c:v>1091</c:v>
                </c:pt>
                <c:pt idx="18">
                  <c:v>353</c:v>
                </c:pt>
                <c:pt idx="19">
                  <c:v>1499</c:v>
                </c:pt>
                <c:pt idx="20">
                  <c:v>1589</c:v>
                </c:pt>
                <c:pt idx="21">
                  <c:v>1373</c:v>
                </c:pt>
                <c:pt idx="22">
                  <c:v>817</c:v>
                </c:pt>
                <c:pt idx="23">
                  <c:v>860</c:v>
                </c:pt>
                <c:pt idx="24">
                  <c:v>1104</c:v>
                </c:pt>
                <c:pt idx="25">
                  <c:v>2848</c:v>
                </c:pt>
                <c:pt idx="26">
                  <c:v>2272</c:v>
                </c:pt>
                <c:pt idx="27">
                  <c:v>1797</c:v>
                </c:pt>
                <c:pt idx="28">
                  <c:v>1709</c:v>
                </c:pt>
                <c:pt idx="29">
                  <c:v>1229</c:v>
                </c:pt>
                <c:pt idx="30">
                  <c:v>1969</c:v>
                </c:pt>
                <c:pt idx="31">
                  <c:v>1144</c:v>
                </c:pt>
                <c:pt idx="32">
                  <c:v>452</c:v>
                </c:pt>
                <c:pt idx="33">
                  <c:v>1295</c:v>
                </c:pt>
                <c:pt idx="34">
                  <c:v>2204</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243</c:v>
                </c:pt>
                <c:pt idx="51">
                  <c:v>172</c:v>
                </c:pt>
                <c:pt idx="52">
                  <c:v>334</c:v>
                </c:pt>
                <c:pt idx="53">
                  <c:v>1576</c:v>
                </c:pt>
                <c:pt idx="54">
                  <c:v>1614</c:v>
                </c:pt>
                <c:pt idx="55">
                  <c:v>1116</c:v>
                </c:pt>
                <c:pt idx="56">
                  <c:v>1941</c:v>
                </c:pt>
                <c:pt idx="57">
                  <c:v>1977</c:v>
                </c:pt>
                <c:pt idx="58">
                  <c:v>1599</c:v>
                </c:pt>
                <c:pt idx="59">
                  <c:v>1295</c:v>
                </c:pt>
                <c:pt idx="60">
                  <c:v>1125</c:v>
                </c:pt>
                <c:pt idx="61">
                  <c:v>647</c:v>
                </c:pt>
                <c:pt idx="62">
                  <c:v>1408</c:v>
                </c:pt>
                <c:pt idx="63">
                  <c:v>1058</c:v>
                </c:pt>
                <c:pt idx="64">
                  <c:v>1406</c:v>
                </c:pt>
                <c:pt idx="65">
                  <c:v>1087</c:v>
                </c:pt>
                <c:pt idx="66">
                  <c:v>1253</c:v>
                </c:pt>
                <c:pt idx="67">
                  <c:v>1203</c:v>
                </c:pt>
                <c:pt idx="68">
                  <c:v>1269</c:v>
                </c:pt>
                <c:pt idx="69">
                  <c:v>804</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1741</c:v>
                </c:pt>
                <c:pt idx="95">
                  <c:v>1164</c:v>
                </c:pt>
                <c:pt idx="96">
                  <c:v>3346</c:v>
                </c:pt>
                <c:pt idx="97">
                  <c:v>1981</c:v>
                </c:pt>
                <c:pt idx="98">
                  <c:v>1966</c:v>
                </c:pt>
                <c:pt idx="99">
                  <c:v>1171</c:v>
                </c:pt>
                <c:pt idx="100">
                  <c:v>19</c:v>
                </c:pt>
                <c:pt idx="101">
                  <c:v>176</c:v>
                </c:pt>
                <c:pt idx="102">
                  <c:v>113</c:v>
                </c:pt>
                <c:pt idx="103">
                  <c:v>162</c:v>
                </c:pt>
              </c:numCache>
            </c:numRef>
          </c:bubbleSize>
          <c:bubble3D val="0"/>
          <c:extLst>
            <c:ext xmlns:c16="http://schemas.microsoft.com/office/drawing/2014/chart" uri="{C3380CC4-5D6E-409C-BE32-E72D297353CC}">
              <c16:uniqueId val="{00000000-586A-4E7D-A7F4-4180F8983B15}"/>
            </c:ext>
          </c:extLst>
        </c:ser>
        <c:ser>
          <c:idx val="1"/>
          <c:order val="7"/>
          <c:tx>
            <c:strRef>
              <c:f>'Мособлдума одномандатный'!$T$1</c:f>
              <c:strCache>
                <c:ptCount val="1"/>
                <c:pt idx="0">
                  <c:v>Надомка</c:v>
                </c:pt>
              </c:strCache>
            </c:strRef>
          </c:tx>
          <c:spPr>
            <a:noFill/>
            <a:ln w="6350">
              <a:solidFill>
                <a:srgbClr val="000000"/>
              </a:solidFill>
              <a:prstDash val="sysDot"/>
            </a:ln>
          </c:spPr>
          <c:invertIfNegative val="0"/>
          <c:xVal>
            <c:numRef>
              <c:f>'Мособлдума одномандатный'!$N$2:$N$105</c:f>
              <c:numCache>
                <c:formatCode>0.0</c:formatCode>
                <c:ptCount val="104"/>
                <c:pt idx="0">
                  <c:v>39.212827988338191</c:v>
                </c:pt>
                <c:pt idx="1">
                  <c:v>38.041853512705529</c:v>
                </c:pt>
                <c:pt idx="2">
                  <c:v>39.427516158818101</c:v>
                </c:pt>
                <c:pt idx="3">
                  <c:v>39.854111405835546</c:v>
                </c:pt>
                <c:pt idx="4">
                  <c:v>33.264177040110653</c:v>
                </c:pt>
                <c:pt idx="5">
                  <c:v>42.690513219284604</c:v>
                </c:pt>
                <c:pt idx="6">
                  <c:v>43.348416289592762</c:v>
                </c:pt>
                <c:pt idx="7">
                  <c:v>38.736102984201288</c:v>
                </c:pt>
                <c:pt idx="8">
                  <c:v>39.352517985611513</c:v>
                </c:pt>
                <c:pt idx="9">
                  <c:v>35.258814703675917</c:v>
                </c:pt>
                <c:pt idx="10">
                  <c:v>40.13986013986014</c:v>
                </c:pt>
                <c:pt idx="11">
                  <c:v>37.957610789980734</c:v>
                </c:pt>
                <c:pt idx="12">
                  <c:v>36.392075078206467</c:v>
                </c:pt>
                <c:pt idx="13">
                  <c:v>35.748138117806363</c:v>
                </c:pt>
                <c:pt idx="14">
                  <c:v>34.100974313551816</c:v>
                </c:pt>
                <c:pt idx="15">
                  <c:v>32.285115303983225</c:v>
                </c:pt>
                <c:pt idx="16">
                  <c:v>36.583184257602859</c:v>
                </c:pt>
                <c:pt idx="17">
                  <c:v>39.505041246562783</c:v>
                </c:pt>
                <c:pt idx="18">
                  <c:v>47.592067988668553</c:v>
                </c:pt>
                <c:pt idx="19">
                  <c:v>42.895263509006007</c:v>
                </c:pt>
                <c:pt idx="20">
                  <c:v>40.27690371302706</c:v>
                </c:pt>
                <c:pt idx="21">
                  <c:v>37.29060451565914</c:v>
                </c:pt>
                <c:pt idx="22">
                  <c:v>100</c:v>
                </c:pt>
                <c:pt idx="23">
                  <c:v>32.906976744186046</c:v>
                </c:pt>
                <c:pt idx="24">
                  <c:v>34.60144927536232</c:v>
                </c:pt>
                <c:pt idx="25">
                  <c:v>46.629213483146067</c:v>
                </c:pt>
                <c:pt idx="26">
                  <c:v>63.160211267605632</c:v>
                </c:pt>
                <c:pt idx="27">
                  <c:v>54.368391764051196</c:v>
                </c:pt>
                <c:pt idx="28">
                  <c:v>51.082504388531305</c:v>
                </c:pt>
                <c:pt idx="29">
                  <c:v>35.150528885272578</c:v>
                </c:pt>
                <c:pt idx="30">
                  <c:v>68.105637379380397</c:v>
                </c:pt>
                <c:pt idx="31">
                  <c:v>40.2972027972028</c:v>
                </c:pt>
                <c:pt idx="32">
                  <c:v>61.283185840707965</c:v>
                </c:pt>
                <c:pt idx="33">
                  <c:v>47.104247104247101</c:v>
                </c:pt>
                <c:pt idx="34">
                  <c:v>34.255898366606168</c:v>
                </c:pt>
                <c:pt idx="35">
                  <c:v>64.880382775119614</c:v>
                </c:pt>
                <c:pt idx="36">
                  <c:v>59.744094488188978</c:v>
                </c:pt>
                <c:pt idx="37">
                  <c:v>53.713768115942031</c:v>
                </c:pt>
                <c:pt idx="38">
                  <c:v>76.283367556468178</c:v>
                </c:pt>
                <c:pt idx="39">
                  <c:v>34.335664335664333</c:v>
                </c:pt>
                <c:pt idx="40">
                  <c:v>42.814814814814817</c:v>
                </c:pt>
                <c:pt idx="41">
                  <c:v>31.17134559535334</c:v>
                </c:pt>
                <c:pt idx="42">
                  <c:v>59.070598748882929</c:v>
                </c:pt>
                <c:pt idx="43">
                  <c:v>37.272727272727273</c:v>
                </c:pt>
                <c:pt idx="44">
                  <c:v>29.840142095914743</c:v>
                </c:pt>
                <c:pt idx="45">
                  <c:v>42.738589211618255</c:v>
                </c:pt>
                <c:pt idx="46">
                  <c:v>39.080459770114942</c:v>
                </c:pt>
                <c:pt idx="47">
                  <c:v>35.185185185185183</c:v>
                </c:pt>
                <c:pt idx="48">
                  <c:v>41.260973663208297</c:v>
                </c:pt>
                <c:pt idx="49">
                  <c:v>34.392374900714856</c:v>
                </c:pt>
                <c:pt idx="50">
                  <c:v>35.802469135802468</c:v>
                </c:pt>
                <c:pt idx="51">
                  <c:v>40.697674418604649</c:v>
                </c:pt>
                <c:pt idx="52">
                  <c:v>36.526946107784433</c:v>
                </c:pt>
                <c:pt idx="53">
                  <c:v>30.076142131979694</c:v>
                </c:pt>
                <c:pt idx="54">
                  <c:v>34.696406443618336</c:v>
                </c:pt>
                <c:pt idx="55">
                  <c:v>41.666666666666664</c:v>
                </c:pt>
                <c:pt idx="56">
                  <c:v>56.774858320453376</c:v>
                </c:pt>
                <c:pt idx="57">
                  <c:v>62.721294891249364</c:v>
                </c:pt>
                <c:pt idx="58">
                  <c:v>79.737335834896811</c:v>
                </c:pt>
                <c:pt idx="59">
                  <c:v>24.555984555984555</c:v>
                </c:pt>
                <c:pt idx="60">
                  <c:v>34.666666666666664</c:v>
                </c:pt>
                <c:pt idx="61">
                  <c:v>100</c:v>
                </c:pt>
                <c:pt idx="62">
                  <c:v>34.801136363636367</c:v>
                </c:pt>
                <c:pt idx="63">
                  <c:v>36.672967863894137</c:v>
                </c:pt>
                <c:pt idx="64">
                  <c:v>34.423897581792318</c:v>
                </c:pt>
                <c:pt idx="65">
                  <c:v>40.018399264029441</c:v>
                </c:pt>
                <c:pt idx="66">
                  <c:v>37.031125299281726</c:v>
                </c:pt>
                <c:pt idx="67">
                  <c:v>34.912718204488776</c:v>
                </c:pt>
                <c:pt idx="68">
                  <c:v>33.490937746256897</c:v>
                </c:pt>
                <c:pt idx="69">
                  <c:v>39.552238805970148</c:v>
                </c:pt>
                <c:pt idx="70">
                  <c:v>26.846846846846848</c:v>
                </c:pt>
                <c:pt idx="71">
                  <c:v>32.449680903289149</c:v>
                </c:pt>
                <c:pt idx="72">
                  <c:v>59.467918622848202</c:v>
                </c:pt>
                <c:pt idx="73">
                  <c:v>49.481245011971268</c:v>
                </c:pt>
                <c:pt idx="74">
                  <c:v>51.4937106918239</c:v>
                </c:pt>
                <c:pt idx="75">
                  <c:v>45.822102425876011</c:v>
                </c:pt>
                <c:pt idx="76">
                  <c:v>54.390243902439025</c:v>
                </c:pt>
                <c:pt idx="77">
                  <c:v>54.835924006908463</c:v>
                </c:pt>
                <c:pt idx="78">
                  <c:v>58.416742493175612</c:v>
                </c:pt>
                <c:pt idx="79">
                  <c:v>73.318872017353584</c:v>
                </c:pt>
                <c:pt idx="80">
                  <c:v>52.941176470588232</c:v>
                </c:pt>
                <c:pt idx="81">
                  <c:v>48.114630467571644</c:v>
                </c:pt>
                <c:pt idx="82">
                  <c:v>45.288197621225983</c:v>
                </c:pt>
                <c:pt idx="83">
                  <c:v>32.228626320845343</c:v>
                </c:pt>
                <c:pt idx="84">
                  <c:v>48.853754940711461</c:v>
                </c:pt>
                <c:pt idx="85">
                  <c:v>48.4375</c:v>
                </c:pt>
                <c:pt idx="86">
                  <c:v>51.324503311258276</c:v>
                </c:pt>
                <c:pt idx="87">
                  <c:v>35.529715762273902</c:v>
                </c:pt>
                <c:pt idx="88">
                  <c:v>38.928939237899073</c:v>
                </c:pt>
                <c:pt idx="89">
                  <c:v>32.480141218005294</c:v>
                </c:pt>
                <c:pt idx="90">
                  <c:v>38.397502601456814</c:v>
                </c:pt>
                <c:pt idx="91">
                  <c:v>54.0625</c:v>
                </c:pt>
                <c:pt idx="92">
                  <c:v>39.892390468870097</c:v>
                </c:pt>
                <c:pt idx="93">
                  <c:v>46.120218579234972</c:v>
                </c:pt>
                <c:pt idx="94">
                  <c:v>23.147616312464102</c:v>
                </c:pt>
                <c:pt idx="95">
                  <c:v>36.426116838487971</c:v>
                </c:pt>
                <c:pt idx="96">
                  <c:v>47.011356843992829</c:v>
                </c:pt>
                <c:pt idx="97">
                  <c:v>64.613831398283693</c:v>
                </c:pt>
                <c:pt idx="98">
                  <c:v>55.188199389623598</c:v>
                </c:pt>
                <c:pt idx="99">
                  <c:v>39.53885567890692</c:v>
                </c:pt>
                <c:pt idx="100">
                  <c:v>100</c:v>
                </c:pt>
                <c:pt idx="101">
                  <c:v>80.11363636363636</c:v>
                </c:pt>
                <c:pt idx="102">
                  <c:v>96.460176991150448</c:v>
                </c:pt>
                <c:pt idx="103">
                  <c:v>90.123456790123456</c:v>
                </c:pt>
              </c:numCache>
            </c:numRef>
          </c:xVal>
          <c:yVal>
            <c:numRef>
              <c:f>'Мособлдума одномандатный'!$T$2:$T$105</c:f>
              <c:numCache>
                <c:formatCode>0.0</c:formatCode>
                <c:ptCount val="104"/>
                <c:pt idx="0">
                  <c:v>2.9739776951672861</c:v>
                </c:pt>
                <c:pt idx="1">
                  <c:v>3.9292730844793713</c:v>
                </c:pt>
                <c:pt idx="2">
                  <c:v>1.405152224824356</c:v>
                </c:pt>
                <c:pt idx="3">
                  <c:v>1.6638935108153079</c:v>
                </c:pt>
                <c:pt idx="4">
                  <c:v>0.83160083160083165</c:v>
                </c:pt>
                <c:pt idx="5">
                  <c:v>1.0968921389396709</c:v>
                </c:pt>
                <c:pt idx="6">
                  <c:v>2.9288702928870292</c:v>
                </c:pt>
                <c:pt idx="7">
                  <c:v>4.380664652567976</c:v>
                </c:pt>
                <c:pt idx="8">
                  <c:v>4.3875685557586834</c:v>
                </c:pt>
                <c:pt idx="9">
                  <c:v>3.6170212765957448</c:v>
                </c:pt>
                <c:pt idx="10">
                  <c:v>2.6132404181184667</c:v>
                </c:pt>
                <c:pt idx="11">
                  <c:v>2.5380710659898478</c:v>
                </c:pt>
                <c:pt idx="12">
                  <c:v>7.4498567335243555</c:v>
                </c:pt>
                <c:pt idx="13">
                  <c:v>1.7045454545454546</c:v>
                </c:pt>
                <c:pt idx="14">
                  <c:v>0.51948051948051943</c:v>
                </c:pt>
                <c:pt idx="15">
                  <c:v>1.7391304347826086</c:v>
                </c:pt>
                <c:pt idx="16">
                  <c:v>8.5574572127139366</c:v>
                </c:pt>
                <c:pt idx="17">
                  <c:v>7.8886310904872392</c:v>
                </c:pt>
                <c:pt idx="18">
                  <c:v>30.357142857142858</c:v>
                </c:pt>
                <c:pt idx="19">
                  <c:v>2.0217729393468118</c:v>
                </c:pt>
                <c:pt idx="20">
                  <c:v>0.46875</c:v>
                </c:pt>
                <c:pt idx="21">
                  <c:v>6.640625</c:v>
                </c:pt>
                <c:pt idx="22">
                  <c:v>1.8359853121175032</c:v>
                </c:pt>
                <c:pt idx="23">
                  <c:v>2.8268551236749118</c:v>
                </c:pt>
                <c:pt idx="24">
                  <c:v>3.6649214659685865</c:v>
                </c:pt>
                <c:pt idx="25">
                  <c:v>0</c:v>
                </c:pt>
                <c:pt idx="26">
                  <c:v>55.6794425087108</c:v>
                </c:pt>
                <c:pt idx="27">
                  <c:v>57.625383828045038</c:v>
                </c:pt>
                <c:pt idx="28">
                  <c:v>39.289805269186715</c:v>
                </c:pt>
                <c:pt idx="29">
                  <c:v>1.8518518518518519</c:v>
                </c:pt>
                <c:pt idx="30">
                  <c:v>18.642803877703205</c:v>
                </c:pt>
                <c:pt idx="31">
                  <c:v>0.43383947939262474</c:v>
                </c:pt>
                <c:pt idx="32">
                  <c:v>1.4440433212996391</c:v>
                </c:pt>
                <c:pt idx="33">
                  <c:v>9.8360655737704921</c:v>
                </c:pt>
                <c:pt idx="34">
                  <c:v>28.079470198675498</c:v>
                </c:pt>
                <c:pt idx="35">
                  <c:v>14.011799410029498</c:v>
                </c:pt>
                <c:pt idx="36">
                  <c:v>0.98846787479406917</c:v>
                </c:pt>
                <c:pt idx="37">
                  <c:v>2.5295109612141653</c:v>
                </c:pt>
                <c:pt idx="38">
                  <c:v>0.13477088948787061</c:v>
                </c:pt>
                <c:pt idx="39">
                  <c:v>6.7209775967413439</c:v>
                </c:pt>
                <c:pt idx="40">
                  <c:v>1.3840830449826989</c:v>
                </c:pt>
                <c:pt idx="41">
                  <c:v>2.1739130434782608</c:v>
                </c:pt>
                <c:pt idx="42">
                  <c:v>2.7231467473524962</c:v>
                </c:pt>
                <c:pt idx="43">
                  <c:v>1.524390243902439</c:v>
                </c:pt>
                <c:pt idx="44">
                  <c:v>3.2738095238095237</c:v>
                </c:pt>
                <c:pt idx="45">
                  <c:v>39.644012944983821</c:v>
                </c:pt>
                <c:pt idx="46">
                  <c:v>14.705882352941176</c:v>
                </c:pt>
                <c:pt idx="47">
                  <c:v>0.62444246208742193</c:v>
                </c:pt>
                <c:pt idx="48">
                  <c:v>6.3829787234042552</c:v>
                </c:pt>
                <c:pt idx="49">
                  <c:v>9.9307159353348737</c:v>
                </c:pt>
                <c:pt idx="50">
                  <c:v>28.735632183908045</c:v>
                </c:pt>
                <c:pt idx="51">
                  <c:v>17.142857142857142</c:v>
                </c:pt>
                <c:pt idx="52">
                  <c:v>13.934426229508198</c:v>
                </c:pt>
                <c:pt idx="53">
                  <c:v>1.8987341772151898</c:v>
                </c:pt>
                <c:pt idx="54">
                  <c:v>2.3214285714285716</c:v>
                </c:pt>
                <c:pt idx="55">
                  <c:v>1.5053763440860215</c:v>
                </c:pt>
                <c:pt idx="56">
                  <c:v>0.27223230490018147</c:v>
                </c:pt>
                <c:pt idx="57">
                  <c:v>0.72580645161290325</c:v>
                </c:pt>
                <c:pt idx="58">
                  <c:v>0.78431372549019607</c:v>
                </c:pt>
                <c:pt idx="59">
                  <c:v>6.6037735849056602</c:v>
                </c:pt>
                <c:pt idx="60">
                  <c:v>16.410256410256409</c:v>
                </c:pt>
                <c:pt idx="61">
                  <c:v>0.61823802163833075</c:v>
                </c:pt>
                <c:pt idx="62">
                  <c:v>2.8571428571428572</c:v>
                </c:pt>
                <c:pt idx="63">
                  <c:v>3.3505154639175259</c:v>
                </c:pt>
                <c:pt idx="64">
                  <c:v>0.82644628099173556</c:v>
                </c:pt>
                <c:pt idx="65">
                  <c:v>0.91954022988505746</c:v>
                </c:pt>
                <c:pt idx="66">
                  <c:v>2.3706896551724137</c:v>
                </c:pt>
                <c:pt idx="67">
                  <c:v>2.3809523809523809</c:v>
                </c:pt>
                <c:pt idx="68">
                  <c:v>1.1764705882352942</c:v>
                </c:pt>
                <c:pt idx="69">
                  <c:v>0.62893081761006286</c:v>
                </c:pt>
                <c:pt idx="70">
                  <c:v>2.6845637583892619</c:v>
                </c:pt>
                <c:pt idx="71">
                  <c:v>9.0909090909090917</c:v>
                </c:pt>
                <c:pt idx="72">
                  <c:v>24.210526315789473</c:v>
                </c:pt>
                <c:pt idx="73">
                  <c:v>2.5806451612903225</c:v>
                </c:pt>
                <c:pt idx="74">
                  <c:v>6.7175572519083966</c:v>
                </c:pt>
                <c:pt idx="75">
                  <c:v>45.882352941176471</c:v>
                </c:pt>
                <c:pt idx="76">
                  <c:v>20.777279521674142</c:v>
                </c:pt>
                <c:pt idx="77">
                  <c:v>3.9370078740157481</c:v>
                </c:pt>
                <c:pt idx="78">
                  <c:v>31.308411214953271</c:v>
                </c:pt>
                <c:pt idx="79">
                  <c:v>48.520710059171599</c:v>
                </c:pt>
                <c:pt idx="80">
                  <c:v>15.324675324675324</c:v>
                </c:pt>
                <c:pt idx="81">
                  <c:v>17.554858934169278</c:v>
                </c:pt>
                <c:pt idx="82">
                  <c:v>14.545454545454545</c:v>
                </c:pt>
                <c:pt idx="83">
                  <c:v>14.456035767511178</c:v>
                </c:pt>
                <c:pt idx="84">
                  <c:v>7.9545454545454541</c:v>
                </c:pt>
                <c:pt idx="85">
                  <c:v>46.594982078853043</c:v>
                </c:pt>
                <c:pt idx="86">
                  <c:v>27.419354838709676</c:v>
                </c:pt>
                <c:pt idx="87">
                  <c:v>2.2140221402214024</c:v>
                </c:pt>
                <c:pt idx="88">
                  <c:v>2.9100529100529102</c:v>
                </c:pt>
                <c:pt idx="89">
                  <c:v>2.7173913043478262</c:v>
                </c:pt>
                <c:pt idx="90">
                  <c:v>2.9891304347826089</c:v>
                </c:pt>
                <c:pt idx="91">
                  <c:v>0.43352601156069365</c:v>
                </c:pt>
                <c:pt idx="92">
                  <c:v>4.4315992292870909</c:v>
                </c:pt>
                <c:pt idx="93">
                  <c:v>43.838862559241704</c:v>
                </c:pt>
                <c:pt idx="94">
                  <c:v>3.225806451612903</c:v>
                </c:pt>
                <c:pt idx="95">
                  <c:v>13.443396226415095</c:v>
                </c:pt>
                <c:pt idx="96">
                  <c:v>0</c:v>
                </c:pt>
                <c:pt idx="97">
                  <c:v>1.09375</c:v>
                </c:pt>
                <c:pt idx="98">
                  <c:v>0</c:v>
                </c:pt>
                <c:pt idx="99">
                  <c:v>2.159827213822894</c:v>
                </c:pt>
                <c:pt idx="100">
                  <c:v>0</c:v>
                </c:pt>
                <c:pt idx="101">
                  <c:v>0</c:v>
                </c:pt>
                <c:pt idx="102">
                  <c:v>23.853211009174313</c:v>
                </c:pt>
                <c:pt idx="103">
                  <c:v>0</c:v>
                </c:pt>
              </c:numCache>
            </c:numRef>
          </c:yVal>
          <c:bubbleSize>
            <c:numRef>
              <c:f>'Мособлдума одномандатный'!$I$2:$I$105</c:f>
              <c:numCache>
                <c:formatCode>General</c:formatCode>
                <c:ptCount val="104"/>
                <c:pt idx="0">
                  <c:v>686</c:v>
                </c:pt>
                <c:pt idx="1">
                  <c:v>1338</c:v>
                </c:pt>
                <c:pt idx="2">
                  <c:v>1083</c:v>
                </c:pt>
                <c:pt idx="3">
                  <c:v>1508</c:v>
                </c:pt>
                <c:pt idx="4">
                  <c:v>1446</c:v>
                </c:pt>
                <c:pt idx="5">
                  <c:v>1286</c:v>
                </c:pt>
                <c:pt idx="6">
                  <c:v>1105</c:v>
                </c:pt>
                <c:pt idx="7">
                  <c:v>1709</c:v>
                </c:pt>
                <c:pt idx="8">
                  <c:v>1390</c:v>
                </c:pt>
                <c:pt idx="9">
                  <c:v>1333</c:v>
                </c:pt>
                <c:pt idx="10">
                  <c:v>1430</c:v>
                </c:pt>
                <c:pt idx="11">
                  <c:v>1038</c:v>
                </c:pt>
                <c:pt idx="12">
                  <c:v>959</c:v>
                </c:pt>
                <c:pt idx="13">
                  <c:v>1477</c:v>
                </c:pt>
                <c:pt idx="14">
                  <c:v>1129</c:v>
                </c:pt>
                <c:pt idx="15">
                  <c:v>1431</c:v>
                </c:pt>
                <c:pt idx="16">
                  <c:v>1118</c:v>
                </c:pt>
                <c:pt idx="17">
                  <c:v>1091</c:v>
                </c:pt>
                <c:pt idx="18">
                  <c:v>353</c:v>
                </c:pt>
                <c:pt idx="19">
                  <c:v>1499</c:v>
                </c:pt>
                <c:pt idx="20">
                  <c:v>1589</c:v>
                </c:pt>
                <c:pt idx="21">
                  <c:v>1373</c:v>
                </c:pt>
                <c:pt idx="22">
                  <c:v>817</c:v>
                </c:pt>
                <c:pt idx="23">
                  <c:v>860</c:v>
                </c:pt>
                <c:pt idx="24">
                  <c:v>1104</c:v>
                </c:pt>
                <c:pt idx="25">
                  <c:v>2848</c:v>
                </c:pt>
                <c:pt idx="26">
                  <c:v>2272</c:v>
                </c:pt>
                <c:pt idx="27">
                  <c:v>1797</c:v>
                </c:pt>
                <c:pt idx="28">
                  <c:v>1709</c:v>
                </c:pt>
                <c:pt idx="29">
                  <c:v>1229</c:v>
                </c:pt>
                <c:pt idx="30">
                  <c:v>1969</c:v>
                </c:pt>
                <c:pt idx="31">
                  <c:v>1144</c:v>
                </c:pt>
                <c:pt idx="32">
                  <c:v>452</c:v>
                </c:pt>
                <c:pt idx="33">
                  <c:v>1295</c:v>
                </c:pt>
                <c:pt idx="34">
                  <c:v>2204</c:v>
                </c:pt>
                <c:pt idx="35">
                  <c:v>1045</c:v>
                </c:pt>
                <c:pt idx="36">
                  <c:v>1016</c:v>
                </c:pt>
                <c:pt idx="37">
                  <c:v>1104</c:v>
                </c:pt>
                <c:pt idx="38">
                  <c:v>974</c:v>
                </c:pt>
                <c:pt idx="39">
                  <c:v>1430</c:v>
                </c:pt>
                <c:pt idx="40">
                  <c:v>2025</c:v>
                </c:pt>
                <c:pt idx="41">
                  <c:v>1033</c:v>
                </c:pt>
                <c:pt idx="42">
                  <c:v>1119</c:v>
                </c:pt>
                <c:pt idx="43">
                  <c:v>1760</c:v>
                </c:pt>
                <c:pt idx="44">
                  <c:v>1126</c:v>
                </c:pt>
                <c:pt idx="45">
                  <c:v>1446</c:v>
                </c:pt>
                <c:pt idx="46">
                  <c:v>1218</c:v>
                </c:pt>
                <c:pt idx="47">
                  <c:v>3186</c:v>
                </c:pt>
                <c:pt idx="48">
                  <c:v>1253</c:v>
                </c:pt>
                <c:pt idx="49">
                  <c:v>1259</c:v>
                </c:pt>
                <c:pt idx="50">
                  <c:v>243</c:v>
                </c:pt>
                <c:pt idx="51">
                  <c:v>172</c:v>
                </c:pt>
                <c:pt idx="52">
                  <c:v>334</c:v>
                </c:pt>
                <c:pt idx="53">
                  <c:v>1576</c:v>
                </c:pt>
                <c:pt idx="54">
                  <c:v>1614</c:v>
                </c:pt>
                <c:pt idx="55">
                  <c:v>1116</c:v>
                </c:pt>
                <c:pt idx="56">
                  <c:v>1941</c:v>
                </c:pt>
                <c:pt idx="57">
                  <c:v>1977</c:v>
                </c:pt>
                <c:pt idx="58">
                  <c:v>1599</c:v>
                </c:pt>
                <c:pt idx="59">
                  <c:v>1295</c:v>
                </c:pt>
                <c:pt idx="60">
                  <c:v>1125</c:v>
                </c:pt>
                <c:pt idx="61">
                  <c:v>647</c:v>
                </c:pt>
                <c:pt idx="62">
                  <c:v>1408</c:v>
                </c:pt>
                <c:pt idx="63">
                  <c:v>1058</c:v>
                </c:pt>
                <c:pt idx="64">
                  <c:v>1406</c:v>
                </c:pt>
                <c:pt idx="65">
                  <c:v>1087</c:v>
                </c:pt>
                <c:pt idx="66">
                  <c:v>1253</c:v>
                </c:pt>
                <c:pt idx="67">
                  <c:v>1203</c:v>
                </c:pt>
                <c:pt idx="68">
                  <c:v>1269</c:v>
                </c:pt>
                <c:pt idx="69">
                  <c:v>804</c:v>
                </c:pt>
                <c:pt idx="70">
                  <c:v>555</c:v>
                </c:pt>
                <c:pt idx="71">
                  <c:v>2037</c:v>
                </c:pt>
                <c:pt idx="72">
                  <c:v>639</c:v>
                </c:pt>
                <c:pt idx="73">
                  <c:v>1253</c:v>
                </c:pt>
                <c:pt idx="74">
                  <c:v>1272</c:v>
                </c:pt>
                <c:pt idx="75">
                  <c:v>742</c:v>
                </c:pt>
                <c:pt idx="76">
                  <c:v>1230</c:v>
                </c:pt>
                <c:pt idx="77">
                  <c:v>1158</c:v>
                </c:pt>
                <c:pt idx="78">
                  <c:v>1099</c:v>
                </c:pt>
                <c:pt idx="79">
                  <c:v>461</c:v>
                </c:pt>
                <c:pt idx="80">
                  <c:v>731</c:v>
                </c:pt>
                <c:pt idx="81">
                  <c:v>663</c:v>
                </c:pt>
                <c:pt idx="82">
                  <c:v>1093</c:v>
                </c:pt>
                <c:pt idx="83">
                  <c:v>2082</c:v>
                </c:pt>
                <c:pt idx="84">
                  <c:v>1265</c:v>
                </c:pt>
                <c:pt idx="85">
                  <c:v>576</c:v>
                </c:pt>
                <c:pt idx="86">
                  <c:v>1208</c:v>
                </c:pt>
                <c:pt idx="87">
                  <c:v>1548</c:v>
                </c:pt>
                <c:pt idx="88">
                  <c:v>971</c:v>
                </c:pt>
                <c:pt idx="89">
                  <c:v>1133</c:v>
                </c:pt>
                <c:pt idx="90">
                  <c:v>961</c:v>
                </c:pt>
                <c:pt idx="91">
                  <c:v>1280</c:v>
                </c:pt>
                <c:pt idx="92">
                  <c:v>1301</c:v>
                </c:pt>
                <c:pt idx="93">
                  <c:v>915</c:v>
                </c:pt>
                <c:pt idx="94">
                  <c:v>1741</c:v>
                </c:pt>
                <c:pt idx="95">
                  <c:v>1164</c:v>
                </c:pt>
                <c:pt idx="96">
                  <c:v>3346</c:v>
                </c:pt>
                <c:pt idx="97">
                  <c:v>1981</c:v>
                </c:pt>
                <c:pt idx="98">
                  <c:v>1966</c:v>
                </c:pt>
                <c:pt idx="99">
                  <c:v>1171</c:v>
                </c:pt>
                <c:pt idx="100">
                  <c:v>19</c:v>
                </c:pt>
                <c:pt idx="101">
                  <c:v>176</c:v>
                </c:pt>
                <c:pt idx="102">
                  <c:v>113</c:v>
                </c:pt>
                <c:pt idx="103">
                  <c:v>162</c:v>
                </c:pt>
              </c:numCache>
            </c:numRef>
          </c:bubbleSize>
          <c:bubble3D val="0"/>
          <c:extLst>
            <c:ext xmlns:c16="http://schemas.microsoft.com/office/drawing/2014/chart" uri="{C3380CC4-5D6E-409C-BE32-E72D297353CC}">
              <c16:uniqueId val="{00000001-586A-4E7D-A7F4-4180F8983B15}"/>
            </c:ext>
          </c:extLst>
        </c:ser>
        <c:ser>
          <c:idx val="2"/>
          <c:order val="8"/>
          <c:tx>
            <c:strRef>
              <c:f>'Мособлдума одномандатный'!$AB$123</c:f>
              <c:strCache>
                <c:ptCount val="1"/>
                <c:pt idx="0">
                  <c:v>Вручную задано: Рожнов (ЕР) без фальсификаций (%)</c:v>
                </c:pt>
              </c:strCache>
            </c:strRef>
          </c:tx>
          <c:spPr>
            <a:ln w="25400">
              <a:noFill/>
            </a:ln>
          </c:spPr>
          <c:invertIfNegative val="0"/>
          <c:errBars>
            <c:errDir val="x"/>
            <c:errBarType val="minus"/>
            <c:errValType val="percentage"/>
            <c:noEndCap val="1"/>
            <c:val val="100"/>
            <c:spPr>
              <a:ln>
                <a:solidFill>
                  <a:srgbClr val="0000FF">
                    <a:alpha val="50000"/>
                  </a:srgbClr>
                </a:solidFill>
              </a:ln>
            </c:spPr>
          </c:errBars>
          <c:xVal>
            <c:numLit>
              <c:formatCode>General</c:formatCode>
              <c:ptCount val="1"/>
              <c:pt idx="0">
                <c:v>100</c:v>
              </c:pt>
            </c:numLit>
          </c:xVal>
          <c:yVal>
            <c:numRef>
              <c:f>'Мособлдума одномандатный'!$AB$124</c:f>
              <c:numCache>
                <c:formatCode>0.0</c:formatCode>
                <c:ptCount val="1"/>
                <c:pt idx="0">
                  <c:v>34</c:v>
                </c:pt>
              </c:numCache>
            </c:numRef>
          </c:yVal>
          <c:bubbleSize>
            <c:numLit>
              <c:formatCode>General</c:formatCode>
              <c:ptCount val="10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numLit>
          </c:bubbleSize>
          <c:bubble3D val="0"/>
          <c:extLst>
            <c:ext xmlns:c16="http://schemas.microsoft.com/office/drawing/2014/chart" uri="{C3380CC4-5D6E-409C-BE32-E72D297353CC}">
              <c16:uniqueId val="{00000000-D365-4B9D-B5CC-DCB75184B67E}"/>
            </c:ext>
          </c:extLst>
        </c:ser>
        <c:ser>
          <c:idx val="3"/>
          <c:order val="9"/>
          <c:tx>
            <c:strRef>
              <c:f>'Мособлдума одномандатный'!$AB$142</c:f>
              <c:strCache>
                <c:ptCount val="1"/>
                <c:pt idx="0">
                  <c:v>Макс. размер кружка</c:v>
                </c:pt>
              </c:strCache>
            </c:strRef>
          </c:tx>
          <c:spPr>
            <a:solidFill>
              <a:srgbClr val="000000">
                <a:alpha val="50000"/>
              </a:srgbClr>
            </a:solidFill>
            <a:ln w="25400">
              <a:noFill/>
            </a:ln>
          </c:spPr>
          <c:invertIfNegative val="0"/>
          <c:xVal>
            <c:numLit>
              <c:formatCode>General</c:formatCode>
              <c:ptCount val="1"/>
              <c:pt idx="0">
                <c:v>-10</c:v>
              </c:pt>
            </c:numLit>
          </c:xVal>
          <c:yVal>
            <c:numLit>
              <c:formatCode>General</c:formatCode>
              <c:ptCount val="1"/>
              <c:pt idx="0">
                <c:v>-10</c:v>
              </c:pt>
            </c:numLit>
          </c:yVal>
          <c:bubbleSize>
            <c:numRef>
              <c:f>'Мособлдума одномандатный'!$AB$143</c:f>
              <c:numCache>
                <c:formatCode>General</c:formatCode>
                <c:ptCount val="1"/>
                <c:pt idx="0">
                  <c:v>3346</c:v>
                </c:pt>
              </c:numCache>
            </c:numRef>
          </c:bubbleSize>
          <c:bubble3D val="0"/>
          <c:extLst>
            <c:ext xmlns:c16="http://schemas.microsoft.com/office/drawing/2014/chart" uri="{C3380CC4-5D6E-409C-BE32-E72D297353CC}">
              <c16:uniqueId val="{00000000-62AB-4074-8801-5EDD309F184D}"/>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2194143602087"/>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1971491228070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4.2540713999197753E-2"/>
          <c:y val="0.11734371345029242"/>
          <c:w val="0.17661833132771762"/>
          <c:h val="0.26597149122807012"/>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14296</xdr:colOff>
      <xdr:row>107</xdr:row>
      <xdr:rowOff>10481</xdr:rowOff>
    </xdr:from>
    <xdr:to>
      <xdr:col>26</xdr:col>
      <xdr:colOff>132523</xdr:colOff>
      <xdr:row>144</xdr:row>
      <xdr:rowOff>145384</xdr:rowOff>
    </xdr:to>
    <xdr:graphicFrame macro="">
      <xdr:nvGraphicFramePr>
        <xdr:cNvPr id="2" name="Chart 1">
          <a:extLst>
            <a:ext uri="{FF2B5EF4-FFF2-40B4-BE49-F238E27FC236}">
              <a16:creationId xmlns:a16="http://schemas.microsoft.com/office/drawing/2014/main" id="{5FA27148-FA9C-4920-B6AB-D12332896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xdr:col>
      <xdr:colOff>4531</xdr:colOff>
      <xdr:row>107</xdr:row>
      <xdr:rowOff>756</xdr:rowOff>
    </xdr:from>
    <xdr:to>
      <xdr:col>30</xdr:col>
      <xdr:colOff>369989</xdr:colOff>
      <xdr:row>120</xdr:row>
      <xdr:rowOff>150864</xdr:rowOff>
    </xdr:to>
    <mc:AlternateContent xmlns:mc="http://schemas.openxmlformats.org/markup-compatibility/2006" xmlns:sle15="http://schemas.microsoft.com/office/drawing/2012/slicer">
      <mc:Choice Requires="sle15">
        <xdr:graphicFrame macro="">
          <xdr:nvGraphicFramePr>
            <xdr:cNvPr id="3" name="Наблюдателей">
              <a:extLst>
                <a:ext uri="{FF2B5EF4-FFF2-40B4-BE49-F238E27FC236}">
                  <a16:creationId xmlns:a16="http://schemas.microsoft.com/office/drawing/2014/main" id="{773D6DC8-0185-4082-BB02-433FDACA47AC}"/>
                </a:ext>
              </a:extLst>
            </xdr:cNvPr>
            <xdr:cNvGraphicFramePr/>
          </xdr:nvGraphicFramePr>
          <xdr:xfrm>
            <a:off x="0" y="0"/>
            <a:ext cx="0" cy="0"/>
          </xdr:xfrm>
          <a:graphic>
            <a:graphicData uri="http://schemas.microsoft.com/office/drawing/2010/slicer">
              <sle:slicer xmlns:sle="http://schemas.microsoft.com/office/drawing/2010/slicer" name="Наблюдателей"/>
            </a:graphicData>
          </a:graphic>
        </xdr:graphicFrame>
      </mc:Choice>
      <mc:Fallback xmlns="">
        <xdr:sp macro="" textlink="">
          <xdr:nvSpPr>
            <xdr:cNvPr id="0" name=""/>
            <xdr:cNvSpPr>
              <a:spLocks noTextEdit="1"/>
            </xdr:cNvSpPr>
          </xdr:nvSpPr>
          <xdr:spPr>
            <a:xfrm>
              <a:off x="12365165" y="7430727"/>
              <a:ext cx="1656643"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27</xdr:col>
      <xdr:colOff>755</xdr:colOff>
      <xdr:row>125</xdr:row>
      <xdr:rowOff>6796</xdr:rowOff>
    </xdr:from>
    <xdr:to>
      <xdr:col>33</xdr:col>
      <xdr:colOff>317133</xdr:colOff>
      <xdr:row>138</xdr:row>
      <xdr:rowOff>156904</xdr:rowOff>
    </xdr:to>
    <mc:AlternateContent xmlns:mc="http://schemas.openxmlformats.org/markup-compatibility/2006" xmlns:sle15="http://schemas.microsoft.com/office/drawing/2012/slicer">
      <mc:Choice Requires="sle15">
        <xdr:graphicFrame macro="">
          <xdr:nvGraphicFramePr>
            <xdr:cNvPr id="4" name="Зона ответственности за набл. в сент. 2022 г.">
              <a:extLst>
                <a:ext uri="{FF2B5EF4-FFF2-40B4-BE49-F238E27FC236}">
                  <a16:creationId xmlns:a16="http://schemas.microsoft.com/office/drawing/2014/main" id="{78339D18-DAAF-4F63-9296-363F00BCC296}"/>
                </a:ext>
              </a:extLst>
            </xdr:cNvPr>
            <xdr:cNvGraphicFramePr/>
          </xdr:nvGraphicFramePr>
          <xdr:xfrm>
            <a:off x="0" y="0"/>
            <a:ext cx="0" cy="0"/>
          </xdr:xfrm>
          <a:graphic>
            <a:graphicData uri="http://schemas.microsoft.com/office/drawing/2010/slicer">
              <sle:slicer xmlns:sle="http://schemas.microsoft.com/office/drawing/2010/slicer" name="Зона ответственности за набл. в сент. 2022 г."/>
            </a:graphicData>
          </a:graphic>
        </xdr:graphicFrame>
      </mc:Choice>
      <mc:Fallback xmlns="">
        <xdr:sp macro="" textlink="">
          <xdr:nvSpPr>
            <xdr:cNvPr id="0" name=""/>
            <xdr:cNvSpPr>
              <a:spLocks noTextEdit="1"/>
            </xdr:cNvSpPr>
          </xdr:nvSpPr>
          <xdr:spPr>
            <a:xfrm>
              <a:off x="12436896" y="22659149"/>
              <a:ext cx="2898747"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14295</xdr:colOff>
      <xdr:row>107</xdr:row>
      <xdr:rowOff>10482</xdr:rowOff>
    </xdr:from>
    <xdr:to>
      <xdr:col>25</xdr:col>
      <xdr:colOff>230682</xdr:colOff>
      <xdr:row>144</xdr:row>
      <xdr:rowOff>145385</xdr:rowOff>
    </xdr:to>
    <xdr:graphicFrame macro="">
      <xdr:nvGraphicFramePr>
        <xdr:cNvPr id="2" name="Chart 1">
          <a:extLst>
            <a:ext uri="{FF2B5EF4-FFF2-40B4-BE49-F238E27FC236}">
              <a16:creationId xmlns:a16="http://schemas.microsoft.com/office/drawing/2014/main" id="{009AB129-D542-4555-AE7B-839DA8F2D4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5284</xdr:colOff>
      <xdr:row>107</xdr:row>
      <xdr:rowOff>756</xdr:rowOff>
    </xdr:from>
    <xdr:to>
      <xdr:col>29</xdr:col>
      <xdr:colOff>332232</xdr:colOff>
      <xdr:row>120</xdr:row>
      <xdr:rowOff>150864</xdr:rowOff>
    </xdr:to>
    <mc:AlternateContent xmlns:mc="http://schemas.openxmlformats.org/markup-compatibility/2006" xmlns:sle15="http://schemas.microsoft.com/office/drawing/2012/slicer">
      <mc:Choice Requires="sle15">
        <xdr:graphicFrame macro="">
          <xdr:nvGraphicFramePr>
            <xdr:cNvPr id="3" name="Наблюдателей 1">
              <a:extLst>
                <a:ext uri="{FF2B5EF4-FFF2-40B4-BE49-F238E27FC236}">
                  <a16:creationId xmlns:a16="http://schemas.microsoft.com/office/drawing/2014/main" id="{DDE3C329-48E8-4E86-8DB2-DF785572499D}"/>
                </a:ext>
              </a:extLst>
            </xdr:cNvPr>
            <xdr:cNvGraphicFramePr/>
          </xdr:nvGraphicFramePr>
          <xdr:xfrm>
            <a:off x="0" y="0"/>
            <a:ext cx="0" cy="0"/>
          </xdr:xfrm>
          <a:graphic>
            <a:graphicData uri="http://schemas.microsoft.com/office/drawing/2010/slicer">
              <sle:slicer xmlns:sle="http://schemas.microsoft.com/office/drawing/2010/slicer" name="Наблюдателей 1"/>
            </a:graphicData>
          </a:graphic>
        </xdr:graphicFrame>
      </mc:Choice>
      <mc:Fallback xmlns="">
        <xdr:sp macro="" textlink="">
          <xdr:nvSpPr>
            <xdr:cNvPr id="0" name=""/>
            <xdr:cNvSpPr>
              <a:spLocks noTextEdit="1"/>
            </xdr:cNvSpPr>
          </xdr:nvSpPr>
          <xdr:spPr>
            <a:xfrm>
              <a:off x="12305513" y="7430727"/>
              <a:ext cx="1640785"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26</xdr:col>
      <xdr:colOff>12835</xdr:colOff>
      <xdr:row>125</xdr:row>
      <xdr:rowOff>12837</xdr:rowOff>
    </xdr:from>
    <xdr:to>
      <xdr:col>32</xdr:col>
      <xdr:colOff>369988</xdr:colOff>
      <xdr:row>138</xdr:row>
      <xdr:rowOff>162945</xdr:rowOff>
    </xdr:to>
    <mc:AlternateContent xmlns:mc="http://schemas.openxmlformats.org/markup-compatibility/2006" xmlns:sle15="http://schemas.microsoft.com/office/drawing/2012/slicer">
      <mc:Choice Requires="sle15">
        <xdr:graphicFrame macro="">
          <xdr:nvGraphicFramePr>
            <xdr:cNvPr id="9" name="Зона ответственности в сен. 2022 г.">
              <a:extLst>
                <a:ext uri="{FF2B5EF4-FFF2-40B4-BE49-F238E27FC236}">
                  <a16:creationId xmlns:a16="http://schemas.microsoft.com/office/drawing/2014/main" id="{966E3636-B5FC-43E2-9AFD-CCB41AFD9E40}"/>
                </a:ext>
              </a:extLst>
            </xdr:cNvPr>
            <xdr:cNvGraphicFramePr/>
          </xdr:nvGraphicFramePr>
          <xdr:xfrm>
            <a:off x="0" y="0"/>
            <a:ext cx="0" cy="0"/>
          </xdr:xfrm>
          <a:graphic>
            <a:graphicData uri="http://schemas.microsoft.com/office/drawing/2010/slicer">
              <sle:slicer xmlns:sle="http://schemas.microsoft.com/office/drawing/2010/slicer" name="Зона ответственности в сен. 2022 г."/>
            </a:graphicData>
          </a:graphic>
        </xdr:graphicFrame>
      </mc:Choice>
      <mc:Fallback xmlns="">
        <xdr:sp macro="" textlink="">
          <xdr:nvSpPr>
            <xdr:cNvPr id="0" name=""/>
            <xdr:cNvSpPr>
              <a:spLocks noTextEdit="1"/>
            </xdr:cNvSpPr>
          </xdr:nvSpPr>
          <xdr:spPr>
            <a:xfrm>
              <a:off x="12388571" y="22665190"/>
              <a:ext cx="2984826"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14296</xdr:colOff>
      <xdr:row>107</xdr:row>
      <xdr:rowOff>10483</xdr:rowOff>
    </xdr:from>
    <xdr:to>
      <xdr:col>26</xdr:col>
      <xdr:colOff>132523</xdr:colOff>
      <xdr:row>144</xdr:row>
      <xdr:rowOff>145386</xdr:rowOff>
    </xdr:to>
    <xdr:graphicFrame macro="">
      <xdr:nvGraphicFramePr>
        <xdr:cNvPr id="2" name="Chart 1">
          <a:extLst>
            <a:ext uri="{FF2B5EF4-FFF2-40B4-BE49-F238E27FC236}">
              <a16:creationId xmlns:a16="http://schemas.microsoft.com/office/drawing/2014/main" id="{8D6E3E2F-1F79-4BA2-A66A-F072C0B3A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xdr:col>
      <xdr:colOff>4531</xdr:colOff>
      <xdr:row>107</xdr:row>
      <xdr:rowOff>756</xdr:rowOff>
    </xdr:from>
    <xdr:to>
      <xdr:col>30</xdr:col>
      <xdr:colOff>362437</xdr:colOff>
      <xdr:row>120</xdr:row>
      <xdr:rowOff>150864</xdr:rowOff>
    </xdr:to>
    <mc:AlternateContent xmlns:mc="http://schemas.openxmlformats.org/markup-compatibility/2006" xmlns:sle15="http://schemas.microsoft.com/office/drawing/2012/slicer">
      <mc:Choice Requires="sle15">
        <xdr:graphicFrame macro="">
          <xdr:nvGraphicFramePr>
            <xdr:cNvPr id="3" name="Наблюдателей 2">
              <a:extLst>
                <a:ext uri="{FF2B5EF4-FFF2-40B4-BE49-F238E27FC236}">
                  <a16:creationId xmlns:a16="http://schemas.microsoft.com/office/drawing/2014/main" id="{DF2B51E4-5D87-404B-BA55-C493F8ED8DC3}"/>
                </a:ext>
              </a:extLst>
            </xdr:cNvPr>
            <xdr:cNvGraphicFramePr/>
          </xdr:nvGraphicFramePr>
          <xdr:xfrm>
            <a:off x="0" y="0"/>
            <a:ext cx="0" cy="0"/>
          </xdr:xfrm>
          <a:graphic>
            <a:graphicData uri="http://schemas.microsoft.com/office/drawing/2010/slicer">
              <sle:slicer xmlns:sle="http://schemas.microsoft.com/office/drawing/2010/slicer" name="Наблюдателей 2"/>
            </a:graphicData>
          </a:graphic>
        </xdr:graphicFrame>
      </mc:Choice>
      <mc:Fallback xmlns="">
        <xdr:sp macro="" textlink="">
          <xdr:nvSpPr>
            <xdr:cNvPr id="0" name=""/>
            <xdr:cNvSpPr>
              <a:spLocks noTextEdit="1"/>
            </xdr:cNvSpPr>
          </xdr:nvSpPr>
          <xdr:spPr>
            <a:xfrm>
              <a:off x="12372715" y="7430727"/>
              <a:ext cx="1649091"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27</xdr:col>
      <xdr:colOff>12081</xdr:colOff>
      <xdr:row>125</xdr:row>
      <xdr:rowOff>14347</xdr:rowOff>
    </xdr:from>
    <xdr:to>
      <xdr:col>33</xdr:col>
      <xdr:colOff>347336</xdr:colOff>
      <xdr:row>138</xdr:row>
      <xdr:rowOff>164455</xdr:rowOff>
    </xdr:to>
    <mc:AlternateContent xmlns:mc="http://schemas.openxmlformats.org/markup-compatibility/2006" xmlns:sle15="http://schemas.microsoft.com/office/drawing/2012/slicer">
      <mc:Choice Requires="sle15">
        <xdr:graphicFrame macro="">
          <xdr:nvGraphicFramePr>
            <xdr:cNvPr id="5" name="Зона ответственности в сен. 2022 г. 1">
              <a:extLst>
                <a:ext uri="{FF2B5EF4-FFF2-40B4-BE49-F238E27FC236}">
                  <a16:creationId xmlns:a16="http://schemas.microsoft.com/office/drawing/2014/main" id="{A4EE6D62-7E03-434E-9D54-2A3F3809AFBC}"/>
                </a:ext>
              </a:extLst>
            </xdr:cNvPr>
            <xdr:cNvGraphicFramePr/>
          </xdr:nvGraphicFramePr>
          <xdr:xfrm>
            <a:off x="0" y="0"/>
            <a:ext cx="0" cy="0"/>
          </xdr:xfrm>
          <a:graphic>
            <a:graphicData uri="http://schemas.microsoft.com/office/drawing/2010/slicer">
              <sle:slicer xmlns:sle="http://schemas.microsoft.com/office/drawing/2010/slicer" name="Зона ответственности в сен. 2022 г. 1"/>
            </a:graphicData>
          </a:graphic>
        </xdr:graphicFrame>
      </mc:Choice>
      <mc:Fallback xmlns="">
        <xdr:sp macro="" textlink="">
          <xdr:nvSpPr>
            <xdr:cNvPr id="0" name=""/>
            <xdr:cNvSpPr>
              <a:spLocks noTextEdit="1"/>
            </xdr:cNvSpPr>
          </xdr:nvSpPr>
          <xdr:spPr>
            <a:xfrm>
              <a:off x="12448222" y="22666700"/>
              <a:ext cx="2917624"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14293</xdr:colOff>
      <xdr:row>107</xdr:row>
      <xdr:rowOff>10481</xdr:rowOff>
    </xdr:from>
    <xdr:to>
      <xdr:col>26</xdr:col>
      <xdr:colOff>223128</xdr:colOff>
      <xdr:row>144</xdr:row>
      <xdr:rowOff>145384</xdr:rowOff>
    </xdr:to>
    <xdr:graphicFrame macro="">
      <xdr:nvGraphicFramePr>
        <xdr:cNvPr id="2" name="Chart 1">
          <a:extLst>
            <a:ext uri="{FF2B5EF4-FFF2-40B4-BE49-F238E27FC236}">
              <a16:creationId xmlns:a16="http://schemas.microsoft.com/office/drawing/2014/main" id="{24622BC2-FBA1-4074-BBFD-9AB454268F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xdr:col>
      <xdr:colOff>3772</xdr:colOff>
      <xdr:row>107</xdr:row>
      <xdr:rowOff>755</xdr:rowOff>
    </xdr:from>
    <xdr:to>
      <xdr:col>30</xdr:col>
      <xdr:colOff>347333</xdr:colOff>
      <xdr:row>120</xdr:row>
      <xdr:rowOff>150863</xdr:rowOff>
    </xdr:to>
    <mc:AlternateContent xmlns:mc="http://schemas.openxmlformats.org/markup-compatibility/2006" xmlns:sle15="http://schemas.microsoft.com/office/drawing/2012/slicer">
      <mc:Choice Requires="sle15">
        <xdr:graphicFrame macro="">
          <xdr:nvGraphicFramePr>
            <xdr:cNvPr id="3" name="Наблюдателей 3">
              <a:extLst>
                <a:ext uri="{FF2B5EF4-FFF2-40B4-BE49-F238E27FC236}">
                  <a16:creationId xmlns:a16="http://schemas.microsoft.com/office/drawing/2014/main" id="{D19BCD00-1A21-449D-87F7-EFB404478666}"/>
                </a:ext>
              </a:extLst>
            </xdr:cNvPr>
            <xdr:cNvGraphicFramePr/>
          </xdr:nvGraphicFramePr>
          <xdr:xfrm>
            <a:off x="0" y="0"/>
            <a:ext cx="0" cy="0"/>
          </xdr:xfrm>
          <a:graphic>
            <a:graphicData uri="http://schemas.microsoft.com/office/drawing/2010/slicer">
              <sle:slicer xmlns:sle="http://schemas.microsoft.com/office/drawing/2010/slicer" name="Наблюдателей 3"/>
            </a:graphicData>
          </a:graphic>
        </xdr:graphicFrame>
      </mc:Choice>
      <mc:Fallback xmlns="">
        <xdr:sp macro="" textlink="">
          <xdr:nvSpPr>
            <xdr:cNvPr id="0" name=""/>
            <xdr:cNvSpPr>
              <a:spLocks noTextEdit="1"/>
            </xdr:cNvSpPr>
          </xdr:nvSpPr>
          <xdr:spPr>
            <a:xfrm>
              <a:off x="12349305" y="7430726"/>
              <a:ext cx="1634745"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27</xdr:col>
      <xdr:colOff>14345</xdr:colOff>
      <xdr:row>125</xdr:row>
      <xdr:rowOff>14346</xdr:rowOff>
    </xdr:from>
    <xdr:to>
      <xdr:col>33</xdr:col>
      <xdr:colOff>339785</xdr:colOff>
      <xdr:row>138</xdr:row>
      <xdr:rowOff>164454</xdr:rowOff>
    </xdr:to>
    <mc:AlternateContent xmlns:mc="http://schemas.openxmlformats.org/markup-compatibility/2006" xmlns:sle15="http://schemas.microsoft.com/office/drawing/2012/slicer">
      <mc:Choice Requires="sle15">
        <xdr:graphicFrame macro="">
          <xdr:nvGraphicFramePr>
            <xdr:cNvPr id="4" name="Зона ответственности в сен. 2022 г. 2">
              <a:extLst>
                <a:ext uri="{FF2B5EF4-FFF2-40B4-BE49-F238E27FC236}">
                  <a16:creationId xmlns:a16="http://schemas.microsoft.com/office/drawing/2014/main" id="{85971F0F-A837-4BBE-9670-E6DB9585EC77}"/>
                </a:ext>
              </a:extLst>
            </xdr:cNvPr>
            <xdr:cNvGraphicFramePr/>
          </xdr:nvGraphicFramePr>
          <xdr:xfrm>
            <a:off x="0" y="0"/>
            <a:ext cx="0" cy="0"/>
          </xdr:xfrm>
          <a:graphic>
            <a:graphicData uri="http://schemas.microsoft.com/office/drawing/2010/slicer">
              <sle:slicer xmlns:sle="http://schemas.microsoft.com/office/drawing/2010/slicer" name="Зона ответственности в сен. 2022 г. 2"/>
            </a:graphicData>
          </a:graphic>
        </xdr:graphicFrame>
      </mc:Choice>
      <mc:Fallback xmlns="">
        <xdr:sp macro="" textlink="">
          <xdr:nvSpPr>
            <xdr:cNvPr id="0" name=""/>
            <xdr:cNvSpPr>
              <a:spLocks noTextEdit="1"/>
            </xdr:cNvSpPr>
          </xdr:nvSpPr>
          <xdr:spPr>
            <a:xfrm>
              <a:off x="12359878" y="22666699"/>
              <a:ext cx="2907808"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Наблюдателей" xr10:uid="{604F1712-144F-4E69-94A9-5433135F9BF5}" sourceName="Наблюдателей">
  <extLst>
    <x:ext xmlns:x15="http://schemas.microsoft.com/office/spreadsheetml/2010/11/main" uri="{2F2917AC-EB37-4324-AD4E-5DD8C200BD13}">
      <x15:tableSlicerCache tableId="1" column="5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Наблюдателей1" xr10:uid="{0FB76C07-2116-48AA-A22C-9B5A6B3FF4B0}" sourceName="Наблюдателей">
  <extLst>
    <x:ext xmlns:x15="http://schemas.microsoft.com/office/spreadsheetml/2010/11/main" uri="{2F2917AC-EB37-4324-AD4E-5DD8C200BD13}">
      <x15:tableSlicerCache tableId="2" column="4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Наблюдателей2" xr10:uid="{B02E2E4D-066D-40D6-BC33-42547B1E400C}" sourceName="Наблюдателей">
  <extLst>
    <x:ext xmlns:x15="http://schemas.microsoft.com/office/spreadsheetml/2010/11/main" uri="{2F2917AC-EB37-4324-AD4E-5DD8C200BD13}">
      <x15:tableSlicerCache tableId="3" column="4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Наблюдателей3" xr10:uid="{2167E1AE-16B3-44E4-B0FF-DADFF29E0314}" sourceName="Наблюдателей">
  <extLst>
    <x:ext xmlns:x15="http://schemas.microsoft.com/office/spreadsheetml/2010/11/main" uri="{2F2917AC-EB37-4324-AD4E-5DD8C200BD13}">
      <x15:tableSlicerCache tableId="4" column="36"/>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Зона_ответственности_за_набл._в_сент._2022_г." xr10:uid="{6C70F34B-F1A7-442C-A49C-A2FE50C0FDA6}" sourceName="Зона ответственности в сен. 2022 г.">
  <extLst>
    <x:ext xmlns:x15="http://schemas.microsoft.com/office/spreadsheetml/2010/11/main" uri="{2F2917AC-EB37-4324-AD4E-5DD8C200BD13}">
      <x15:tableSlicerCache tableId="1" column="60"/>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Зона_ответственности_в_сен._2022_г." xr10:uid="{076EAE0F-F06E-4CA6-9F0D-8EC3E8DBF684}" sourceName="Зона ответственности в сен. 2022 г.">
  <extLst>
    <x:ext xmlns:x15="http://schemas.microsoft.com/office/spreadsheetml/2010/11/main" uri="{2F2917AC-EB37-4324-AD4E-5DD8C200BD13}">
      <x15:tableSlicerCache tableId="2" column="50"/>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Зона_ответственности_в_сен._2022_г.1" xr10:uid="{34ECD3D7-58BA-4C8D-83EF-910D487CCC1A}" sourceName="Зона ответственности в сен. 2022 г.">
  <extLst>
    <x:ext xmlns:x15="http://schemas.microsoft.com/office/spreadsheetml/2010/11/main" uri="{2F2917AC-EB37-4324-AD4E-5DD8C200BD13}">
      <x15:tableSlicerCache tableId="3" column="51"/>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Зона_ответственности_в_сен._2022_г.2" xr10:uid="{E8357624-035E-4945-964D-56268576DCF4}" sourceName="Зона ответственности в сен. 2022 г.">
  <extLst>
    <x:ext xmlns:x15="http://schemas.microsoft.com/office/spreadsheetml/2010/11/main" uri="{2F2917AC-EB37-4324-AD4E-5DD8C200BD13}">
      <x15:tableSlicerCache tableId="4" column="4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Наблюдателей" xr10:uid="{4870E994-EBAD-4F6F-B070-80A086C47578}" cache="Slicer_Наблюдателей" caption="Наблюдателей" rowHeight="239281"/>
  <slicer name="Зона ответственности за набл. в сент. 2022 г." xr10:uid="{CAD230AE-8918-4949-9FBC-B8BFCDF30F83}" cache="Slicer_Зона_ответственности_за_набл._в_сент._2022_г." caption="Зона ответственности в сен. 2022 г." rowHeight="239281"/>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Наблюдателей 1" xr10:uid="{65557DAD-1753-4939-9757-D74669441AFD}" cache="Slicer_Наблюдателей1" caption="Наблюдателей" rowHeight="239281"/>
  <slicer name="Зона ответственности в сен. 2022 г." xr10:uid="{CC18FE52-5AA0-4708-8CFF-D84A902E4925}" cache="Slicer_Зона_ответственности_в_сен._2022_г." caption="Зона ответственности в сен. 2022 г." rowHeight="239281"/>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Наблюдателей 2" xr10:uid="{CC7D94A2-F3EA-40E3-A73D-F03E6248DD7F}" cache="Slicer_Наблюдателей2" caption="Наблюдателей" rowHeight="239281"/>
  <slicer name="Зона ответственности в сен. 2022 г. 1" xr10:uid="{6C6C3579-E341-4DEC-ACED-D0BC443135DB}" cache="Slicer_Зона_ответственности_в_сен._2022_г.1" caption="Зона ответственности в сен. 2022 г." rowHeight="239281"/>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Наблюдателей 3" xr10:uid="{F5B4CE39-375E-4A50-BDC8-CEE9BFEDFC19}" cache="Slicer_Наблюдателей3" caption="Наблюдателей" rowHeight="239281"/>
  <slicer name="Зона ответственности в сен. 2022 г. 2" xr10:uid="{FD88E857-4DE6-4477-9188-F8D3AFAECE4A}" cache="Slicer_Зона_ответственности_в_сен._2022_г.2" caption="Зона ответственности в сен. 2022 г." rowHeight="239281"/>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65194-A83C-43D5-8B4D-02458167851C}" name="Дума_партии" displayName="Дума_партии" ref="A1:BG106" totalsRowCount="1" headerRowDxfId="438" dataDxfId="437" totalsRowDxfId="436">
  <autoFilter ref="A1:BG105" xr:uid="{05856A0A-FAEC-4712-B32A-2BDAF6280669}"/>
  <tableColumns count="59">
    <tableColumn id="1" xr3:uid="{59BEAA96-D4C2-4189-9C05-9123BFDAA82B}" name="level" totalsRowLabel="Total" dataDxfId="435" totalsRowDxfId="434"/>
    <tableColumn id="2" xr3:uid="{6047D845-F462-4225-BF3E-959FCEA41058}" name="reg" dataDxfId="433" totalsRowDxfId="432"/>
    <tableColumn id="3" xr3:uid="{C1A6765A-C916-4B63-9189-5120A7E1663C}" name="oik" dataDxfId="431" totalsRowDxfId="430"/>
    <tableColumn id="4" xr3:uid="{ED6DC674-DFD6-48DF-A77E-4FD59E922B59}" name="tik" dataDxfId="429" totalsRowDxfId="428"/>
    <tableColumn id="5" xr3:uid="{2A6050EF-5C81-4FFB-AEE7-460AE14D79B2}" name="uik" dataDxfId="427" totalsRowDxfId="426"/>
    <tableColumn id="53" xr3:uid="{1E4D688C-F53F-4EC9-8F6F-84DF7B6A0BA4}" name="УИК" totalsRowFunction="count" dataDxfId="425" totalsRowDxfId="424">
      <calculatedColumnFormula>SUMPRODUCT(MID(0&amp;E2, LARGE(INDEX(ISNUMBER(--MID(E2, ROW(INDIRECT("1:"&amp;LEN(E2))), 1)) * ROW(INDIRECT("1:"&amp;LEN(E2))), 0), ROW(INDIRECT("1:"&amp;LEN(E2))))+1, 1) * 10^ROW(INDIRECT("1:"&amp;LEN(E2)))/10)</calculatedColumnFormula>
    </tableColumn>
    <tableColumn id="54" xr3:uid="{E46467DB-4F1C-4895-B50E-5ED1322971CC}" name="Местоположение" dataDxfId="423" totalsRowDxfId="422"/>
    <tableColumn id="55" xr3:uid="{3EFF82BE-B255-4E37-9F4B-45233E8F5A25}" name="Число избирателей, внесенных в список избирателей на момент окончания голосования" totalsRowFunction="sum" dataDxfId="421" totalsRowDxfId="420"/>
    <tableColumn id="6" xr3:uid="{E8018E0B-44FB-4536-AE01-4E4AE57DA0C0}" name="Вес участка" dataDxfId="419" totalsRowDxfId="418">
      <calculatedColumnFormula>Дума_партии[[#This Row],[Число избирателей, внесенных в список избирателей на момент окончания голосования]]</calculatedColumnFormula>
    </tableColumn>
    <tableColumn id="7" xr3:uid="{DEAF36C3-1D98-466F-B462-D38B34D5985D}" name="Число избирательных бюллетеней, полученных участковой избирательной комиссией" dataDxfId="417" totalsRowDxfId="416"/>
    <tableColumn id="8" xr3:uid="{473E6BA2-DC2E-4C3E-A4DA-2650C83B3236}" name="Число избирательных бюллетеней, выданных избирателям, проголосовавшим досрочно" dataDxfId="415" totalsRowDxfId="414"/>
    <tableColumn id="9" xr3:uid="{610FC870-2A77-4709-9203-B06CB1C29131}" name="Число избирательных бюллетеней, выданных в помещении для голосования в день голосования" totalsRowFunction="sum" dataDxfId="413" totalsRowDxfId="412"/>
    <tableColumn id="10" xr3:uid="{8C282686-E0C9-462C-82E3-361A45929242}" name="Число избирательных бюллетеней, выданных вне помещения для голосования в день голосования" totalsRowFunction="sum" dataDxfId="411" totalsRowDxfId="410"/>
    <tableColumn id="11" xr3:uid="{8CE6412A-754E-4869-AFFF-D56A889AF343}" name="Явка" dataDxfId="409" totalsRowDxfId="408">
      <calculatedColumnFormula>100*(L2+M2)/H2</calculatedColumnFormula>
    </tableColumn>
    <tableColumn id="12" xr3:uid="{C733E203-3629-4E30-A430-07DD4D570089}" name="Надомка от списка" dataDxfId="407" totalsRowDxfId="406">
      <calculatedColumnFormula>100*M2/H2</calculatedColumnFormula>
    </tableColumn>
    <tableColumn id="13" xr3:uid="{091465D6-60C4-4F11-A31C-BB37E3251321}" name="Число погашенных избирательных бюллетеней" dataDxfId="405" totalsRowDxfId="404"/>
    <tableColumn id="14" xr3:uid="{A9DB7673-8EA2-420D-AED4-162858654386}" name="Число избирательных бюллетеней, содержащихся в переносных ящиках для голосования" dataDxfId="403" totalsRowDxfId="402"/>
    <tableColumn id="15" xr3:uid="{E5553EB8-F322-45A5-BE51-163147742ED9}" name="Число избирательных бюллетеней, содержащихся в стационарных ящиках для голосования" dataDxfId="401" totalsRowDxfId="400"/>
    <tableColumn id="16" xr3:uid="{946FC9F2-5450-4932-9EA6-5BED8B9846C5}" name="Обнаружено" totalsRowFunction="sum" dataDxfId="399" totalsRowDxfId="398">
      <calculatedColumnFormula>Q2+R2</calculatedColumnFormula>
    </tableColumn>
    <tableColumn id="17" xr3:uid="{3CD0319C-2995-4B3A-A0C9-5BE7DC962C4B}" name="Надомка" dataDxfId="397" totalsRowDxfId="396">
      <calculatedColumnFormula>100*Q2/S2</calculatedColumnFormula>
    </tableColumn>
    <tableColumn id="18" xr3:uid="{2505FD43-989D-45F6-B197-7F088BF8D271}" name="Число недействительных избирательных бюллетеней" dataDxfId="395" totalsRowDxfId="394"/>
    <tableColumn id="19" xr3:uid="{73E6E3E4-A8B9-4949-BDDE-E37B3537B4B1}" name="Недействительных" dataDxfId="393" totalsRowDxfId="392">
      <calculatedColumnFormula>100*U2/S2</calculatedColumnFormula>
    </tableColumn>
    <tableColumn id="20" xr3:uid="{42695399-8C01-4685-8869-201F7E9A8D97}" name="Число действительных избирательных бюллетеней" dataDxfId="391" totalsRowDxfId="390"/>
    <tableColumn id="21" xr3:uid="{0F179EB1-AA63-42B2-BD99-F58FA8E4286E}" name="Число утраченных избирательных бюллетеней" dataDxfId="389" totalsRowDxfId="388"/>
    <tableColumn id="22" xr3:uid="{F469BE7C-D4A3-4B79-AD56-2B1D633814C2}" name="Число избирательных бюллетеней, не учтенных при получении" dataDxfId="387" totalsRowDxfId="386"/>
    <tableColumn id="23" xr3:uid="{1DB4698B-D1A5-4BC3-B9B7-9269EF41A2BC}" name="1. Политическая партия &quot;КОММУНИСТИЧЕСКАЯ ПАРТИЯ РОССИЙСКОЙ ФЕДЕРАЦИИ&quot;" totalsRowFunction="sum" dataDxfId="385" totalsRowDxfId="384"/>
    <tableColumn id="24" xr3:uid="{6F17FF05-4A4E-4BF3-9C93-F915A524BB09}" name="КПРФ" dataDxfId="383" totalsRowDxfId="382">
      <calculatedColumnFormula>100*Z2/$S2</calculatedColumnFormula>
    </tableColumn>
    <tableColumn id="25" xr3:uid="{A8714783-B71E-4699-BD98-05D3C784C646}" name="2. Политическая партия &quot;Российская экологическая партия &quot;ЗЕЛЁНЫЕ&quot;" totalsRowFunction="sum" dataDxfId="381" totalsRowDxfId="380"/>
    <tableColumn id="26" xr3:uid="{F1B45DAF-A9C6-4940-9EF0-370C7BEC1DA8}" name="Экол. зеленые" dataDxfId="379" totalsRowDxfId="378">
      <calculatedColumnFormula>100*AB2/$S2</calculatedColumnFormula>
    </tableColumn>
    <tableColumn id="27" xr3:uid="{D1F0CD18-6504-4AE5-B550-912A53C46B6A}" name="3. Политическая партия ЛДПР – Либерально-демократическая партия России" totalsRowFunction="sum" dataDxfId="377" totalsRowDxfId="376"/>
    <tableColumn id="28" xr3:uid="{5388319A-02C1-4647-B501-12C52976F649}" name="ЛДПР" dataDxfId="375" totalsRowDxfId="374">
      <calculatedColumnFormula>100*AD2/$S2</calculatedColumnFormula>
    </tableColumn>
    <tableColumn id="29" xr3:uid="{B79C44B7-2AD8-4A9B-8AE7-48BF53DB4EB4}" name="4. Политическая партия &quot;НОВЫЕ ЛЮДИ&quot;" totalsRowFunction="sum" dataDxfId="373" totalsRowDxfId="372"/>
    <tableColumn id="30" xr3:uid="{DE3444C3-02D6-4B65-A78F-0F582A5CCD05}" name="Новые люди" dataDxfId="371" totalsRowDxfId="370">
      <calculatedColumnFormula>100*AF2/$S2</calculatedColumnFormula>
    </tableColumn>
    <tableColumn id="31" xr3:uid="{D9D7319A-2E09-48CF-A7FD-BB31187023D6}" name="5. Всероссийская политическая партия &quot;ЕДИНАЯ РОССИЯ&quot;" totalsRowFunction="sum" dataDxfId="369" totalsRowDxfId="368"/>
    <tableColumn id="32" xr3:uid="{813A2C10-9F6C-4F11-93C6-B89C76AEC73E}" name="Единая Россия" dataDxfId="367" totalsRowDxfId="366">
      <calculatedColumnFormula>100*AH2/$S2</calculatedColumnFormula>
    </tableColumn>
    <tableColumn id="33" xr3:uid="{DDE51049-69B0-4148-AB15-23A816125A8C}" name="6. Партия СПРАВЕДЛИВАЯ РОССИЯ – ЗА ПРАВДУ" totalsRowFunction="sum" dataDxfId="365" totalsRowDxfId="364"/>
    <tableColumn id="34" xr3:uid="{3E2B0A7C-428E-4273-9324-D0476684866E}" name="СР" dataDxfId="363" totalsRowDxfId="362">
      <calculatedColumnFormula>100*AJ2/$S2</calculatedColumnFormula>
    </tableColumn>
    <tableColumn id="35" xr3:uid="{9DB9EDA7-7607-4D65-83D3-1DEEADC3C9A3}" name="7. Политическая партия &quot;Российская объединенная демократическая партия &quot;ЯБЛОКО&quot;" totalsRowFunction="sum" dataDxfId="361" totalsRowDxfId="360"/>
    <tableColumn id="36" xr3:uid="{9BB90D12-E0B2-4ABB-86BB-77665E464CD0}" name="Яблоко" dataDxfId="359" totalsRowDxfId="358">
      <calculatedColumnFormula>100*AL2/$S2</calculatedColumnFormula>
    </tableColumn>
    <tableColumn id="37" xr3:uid="{72E6B033-F171-449D-BB7F-55349391097C}" name="8. Всероссийская политическая партия &quot;ПАРТИЯ РОСТА&quot;" totalsRowFunction="sum" dataDxfId="357" totalsRowDxfId="356"/>
    <tableColumn id="38" xr3:uid="{F4C36960-106B-4E0A-871C-8AAEE511DA16}" name="Роста" dataDxfId="355" totalsRowDxfId="354">
      <calculatedColumnFormula>100*AN2/$S2</calculatedColumnFormula>
    </tableColumn>
    <tableColumn id="39" xr3:uid="{419CC715-D267-485F-8FBA-B2AA91884040}" name="9. Политическая партия РОССИЙСКАЯ ПАРТИЯ СВОБОДЫ И СПРАВЕДЛИВОСТИ" totalsRowFunction="sum" dataDxfId="353" totalsRowDxfId="352"/>
    <tableColumn id="40" xr3:uid="{F92D6923-0A77-4071-BD1D-DEDCEBE4A1E4}" name="Свободы" dataDxfId="351" totalsRowDxfId="350">
      <calculatedColumnFormula>100*AP2/$S2</calculatedColumnFormula>
    </tableColumn>
    <tableColumn id="41" xr3:uid="{5C8FE28D-B86F-4B24-9834-47BB5AF00CBD}" name="10. Политическая партия КОММУНИСТИЧЕСКАЯ ПАРТИЯ КОММУНИСТЫ РОССИИ" totalsRowFunction="sum" dataDxfId="349" totalsRowDxfId="348"/>
    <tableColumn id="42" xr3:uid="{7C509FF9-9A88-42C7-9472-93007E960100}" name="КР" dataDxfId="347" totalsRowDxfId="346">
      <calculatedColumnFormula>100*AR2/$S2</calculatedColumnFormula>
    </tableColumn>
    <tableColumn id="43" xr3:uid="{95E3A4D1-5489-4C55-9506-05BCD7938770}" name="11. Политическая партия &quot;Гражданская Платформа&quot;" totalsRowFunction="sum" dataDxfId="345" totalsRowDxfId="344"/>
    <tableColumn id="44" xr3:uid="{CE3EC797-815C-4D0E-9DC8-1A8B55DEC5CA}" name="Гражданская платф." dataDxfId="343" totalsRowDxfId="342">
      <calculatedColumnFormula>100*AT2/$S2</calculatedColumnFormula>
    </tableColumn>
    <tableColumn id="45" xr3:uid="{A6F74796-EB50-4542-8ED6-1036CD5AD620}" name="12. Политическая партия ЗЕЛЕНАЯ АЛЬТЕРНАТИВА" totalsRowFunction="sum" dataDxfId="341" totalsRowDxfId="340"/>
    <tableColumn id="46" xr3:uid="{1CD9638C-28AE-46D8-81B3-4570523048D9}" name="Зеленая альт." dataDxfId="339" totalsRowDxfId="338">
      <calculatedColumnFormula>100*AV2/$S2</calculatedColumnFormula>
    </tableColumn>
    <tableColumn id="47" xr3:uid="{ACAC7230-9F79-41D5-AEBB-A06142ED5CF0}" name="13. ВСЕРОССИЙСКАЯ ПОЛИТИЧЕСКАЯ ПАРТИЯ &quot;РОДИНА&quot;" totalsRowFunction="sum" dataDxfId="337" totalsRowDxfId="336"/>
    <tableColumn id="48" xr3:uid="{C7925C2D-F87C-4D96-8421-78796806E325}" name="Родина" dataDxfId="335" totalsRowDxfId="334">
      <calculatedColumnFormula>100*AX2/$S2</calculatedColumnFormula>
    </tableColumn>
    <tableColumn id="49" xr3:uid="{96354A28-C12D-4C60-B4F3-7F28341C8700}" name="14. ПАРТИЯ ПЕНСИОНЕРОВ" totalsRowFunction="sum" dataDxfId="333" totalsRowDxfId="332"/>
    <tableColumn id="50" xr3:uid="{A8E7CFAD-7826-4249-8D97-73335B615466}" name="Пенсионеров" dataDxfId="331" totalsRowDxfId="330">
      <calculatedColumnFormula>100*AZ2/$S2</calculatedColumnFormula>
    </tableColumn>
    <tableColumn id="51" xr3:uid="{63EDA5E6-1B27-45A7-A6A1-22EC5B4E262B}" name="url" dataDxfId="329" totalsRowDxfId="328"/>
    <tableColumn id="52" xr3:uid="{724FC44D-6DA6-4C90-8E8F-2DABF0307E7F}" name="Наблюдателей" dataDxfId="327" totalsRowDxfId="326"/>
    <tableColumn id="56" xr3:uid="{32A81778-ADCA-4674-BC2A-C885C13FF293}" name="Вброс" totalsRowFunction="sum" dataDxfId="325" totalsRowDxfId="324">
      <calculatedColumnFormula>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calculatedColumnFormula>
    </tableColumn>
    <tableColumn id="57" xr3:uid="{FE8C5CDC-2D42-4D31-8616-4E8385D52995}" name="Перекладывание" totalsRowFunction="sum" dataDxfId="323" totalsRowDxfId="322">
      <calculatedColumnFormula>2*(Дума_партии[[#This Row],[5. Всероссийская политическая партия "ЕДИНАЯ РОССИЯ"]]-(AB$124/100)*Дума_партии[[#This Row],[Число действительных избирательных бюллетеней]])</calculatedColumnFormula>
    </tableColumn>
    <tableColumn id="58" xr3:uid="{A9016490-9423-4DA0-992E-124FEDE88C2D}" name="Оценка числа бюллетеней, сфальсифицированных в пользу ЕР" totalsRowFunction="sum" dataDxfId="321" totalsRowDxfId="320">
      <calculatedColumnFormula>(Дума_партии[[#This Row],[Вброс]]+Дума_партии[[#This Row],[Перекладывание]])/2</calculatedColumnFormula>
    </tableColumn>
    <tableColumn id="60" xr3:uid="{3561CA28-FCC8-4114-AC25-BE6BC41BCB50}" name="Зона ответственности в сен. 2022 г." dataDxfId="319" totalsRowDxfId="3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65D0E3-28D4-43EF-BADD-E79B94BF913D}" name="Мособлдума_партии" displayName="Мособлдума_партии" ref="B1:AY106" totalsRowCount="1" headerRowDxfId="317" dataDxfId="316" totalsRowDxfId="315">
  <autoFilter ref="B1:AY105" xr:uid="{6501A170-59BF-4666-87A3-BB1C3C7C32A3}"/>
  <tableColumns count="50">
    <tableColumn id="1" xr3:uid="{C7EF0891-4E8B-47CB-A8CA-3E9B893C4BFA}" name="level" totalsRowLabel="Total" dataDxfId="314" totalsRowDxfId="313"/>
    <tableColumn id="2" xr3:uid="{CAF7B33E-B857-45CD-AF83-063A24DC920F}" name="oik" dataDxfId="312" totalsRowDxfId="311"/>
    <tableColumn id="3" xr3:uid="{38473EED-75B0-4517-A697-066A79BF5077}" name="tik" dataDxfId="310" totalsRowDxfId="309"/>
    <tableColumn id="4" xr3:uid="{8E33B84E-9CC4-41E1-90F6-082F4EE43181}" name="uik" dataDxfId="308" totalsRowDxfId="307"/>
    <tableColumn id="45" xr3:uid="{790E9E01-A7BF-487F-854D-212E1EEDAC14}" name="УИК" totalsRowFunction="count" dataDxfId="306" totalsRowDxfId="305">
      <calculatedColumnFormula>SUMPRODUCT(MID(0&amp;E2, LARGE(INDEX(ISNUMBER(--MID(E2, ROW(INDIRECT("1:"&amp;LEN(E2))), 1)) * ROW(INDIRECT("1:"&amp;LEN(E2))), 0), ROW(INDIRECT("1:"&amp;LEN(E2))))+1, 1) * 10^ROW(INDIRECT("1:"&amp;LEN(E2)))/10)</calculatedColumnFormula>
    </tableColumn>
    <tableColumn id="44" xr3:uid="{C4051161-6146-48A3-850C-C340AEA62456}" name="Местоположение" dataDxfId="304" totalsRowDxfId="303">
      <calculatedColumnFormula>Дума_партии[[#This Row],[Местоположение]]</calculatedColumnFormula>
    </tableColumn>
    <tableColumn id="10" xr3:uid="{FB67765E-566C-4D6D-AB45-BDAD8CA3C28D}" name="Число избирателей, внесенных в список на момент окончания голосования" totalsRowFunction="sum" dataDxfId="302" totalsRowDxfId="301"/>
    <tableColumn id="5" xr3:uid="{8190B55F-17C3-444C-91E2-953365A5F106}" name="Вес участка" dataDxfId="300" totalsRowDxfId="299">
      <calculatedColumnFormula>Мособлдума_партии[[#This Row],[Число избирателей, внесенных в список на момент окончания голосования]]</calculatedColumnFormula>
    </tableColumn>
    <tableColumn id="6" xr3:uid="{3C8A50DA-F7ED-4C92-8261-4231E040C358}" name="Число бюллетеней, полученных участковой избирательной комиссией" dataDxfId="298" totalsRowDxfId="297"/>
    <tableColumn id="9" xr3:uid="{CDB7E5F3-696F-48D7-A83C-CC9FB6082F2C}" name="Column1" dataDxfId="296" totalsRowDxfId="295"/>
    <tableColumn id="7" xr3:uid="{1D058298-9737-4AB9-B056-3CEDB1AFA8F3}" name="Число бюллетеней, выданных избирателям в помещении для голосования в день голосования" totalsRowFunction="sum" dataDxfId="294" totalsRowDxfId="293"/>
    <tableColumn id="8" xr3:uid="{18DA9A34-26D2-4EFC-A202-4C0C8736E381}" name="Число бюллетеней, выданных избирателям, проголосовавшим вне помещения для голосования в день голосо" totalsRowFunction="sum" dataDxfId="292" totalsRowDxfId="291"/>
    <tableColumn id="11" xr3:uid="{09CB5120-2482-4181-B7FE-CA49610526FE}" name="Явка" dataDxfId="290" totalsRowDxfId="289">
      <calculatedColumnFormula>100*(L2+M2)/H2</calculatedColumnFormula>
    </tableColumn>
    <tableColumn id="12" xr3:uid="{81724741-43BC-45BF-92C2-A570C4CE14AA}" name="Надомка от списка" dataDxfId="288" totalsRowDxfId="287">
      <calculatedColumnFormula>100*M2/H2</calculatedColumnFormula>
    </tableColumn>
    <tableColumn id="13" xr3:uid="{E63929FB-E5B9-42CE-B1D6-2090AC95659D}" name="Число погашенных бюллетеней" dataDxfId="286" totalsRowDxfId="285"/>
    <tableColumn id="14" xr3:uid="{C29B6DDC-D8F9-4554-B65F-DD39A2DFD5D4}" name="Число бюллетеней, содержащихся в переносных ящиках для голосования" dataDxfId="284" totalsRowDxfId="283"/>
    <tableColumn id="15" xr3:uid="{6104CBCD-BB9E-4263-9B33-E76DC50DC1F0}" name="Число бюллетеней, содержащихся в стационарных ящиках для голосования" dataDxfId="282" totalsRowDxfId="281"/>
    <tableColumn id="16" xr3:uid="{B2ECB11D-7C9A-4581-8EE4-B8CAA10B08F1}" name="Обнаружено" totalsRowFunction="sum" dataDxfId="280" totalsRowDxfId="279">
      <calculatedColumnFormula>Q2+R2</calculatedColumnFormula>
    </tableColumn>
    <tableColumn id="17" xr3:uid="{BEC18483-12A4-4399-9967-4AD9ECE92304}" name="Надомка" dataDxfId="278" totalsRowDxfId="277">
      <calculatedColumnFormula>100*Q2/S2</calculatedColumnFormula>
    </tableColumn>
    <tableColumn id="18" xr3:uid="{26014D66-2D15-438E-B4D1-505F4054AA3D}" name="Число недействительных бюллетеней" dataDxfId="276" totalsRowDxfId="275"/>
    <tableColumn id="19" xr3:uid="{0DF0A861-B61C-4CAA-8229-6AD922813D1B}" name="Недействительных" dataDxfId="274" totalsRowDxfId="273">
      <calculatedColumnFormula>100*U2/S2</calculatedColumnFormula>
    </tableColumn>
    <tableColumn id="20" xr3:uid="{31D52424-052F-4D77-A4E8-FF797A83E935}" name="Число действительных бюллетеней" dataDxfId="272" totalsRowDxfId="271"/>
    <tableColumn id="21" xr3:uid="{60E026C2-C4DD-4F98-A3A1-EC0B59F23F12}" name="Число утраченных бюллетеней" dataDxfId="270" totalsRowDxfId="269"/>
    <tableColumn id="22" xr3:uid="{537B12B9-A74C-4C98-909A-D8EA966513C9}" name="Число бюллетеней, не учтенных при получении" dataDxfId="268" totalsRowDxfId="267"/>
    <tableColumn id="23" xr3:uid="{357687B1-E7B7-49BC-87B5-70A4A453D626}" name="1. ВСЕРОССИЙСКАЯ ПОЛИТИЧЕСКАЯ ПАРТИЯ &quot;РОДИНА&quot;" totalsRowFunction="sum" dataDxfId="266" totalsRowDxfId="265"/>
    <tableColumn id="24" xr3:uid="{34079A99-823E-4669-9CDF-F0B993F61559}" name="Родина" dataDxfId="264" totalsRowDxfId="263">
      <calculatedColumnFormula>100*Z2/$S2</calculatedColumnFormula>
    </tableColumn>
    <tableColumn id="25" xr3:uid="{02505B56-D9B3-4B45-BE46-26B7C0472875}" name="2. Политическая партия ЛДПР – Либерально-демократическая партия России" totalsRowFunction="sum" dataDxfId="262" totalsRowDxfId="261"/>
    <tableColumn id="26" xr3:uid="{F44E7F72-151C-4A95-A0AF-A9A71C1CD916}" name="ЛДПР" dataDxfId="260" totalsRowDxfId="259">
      <calculatedColumnFormula>100*AB2/$S2</calculatedColumnFormula>
    </tableColumn>
    <tableColumn id="27" xr3:uid="{DEF4DB98-BD57-408B-989F-2FE8FD34472E}" name="3. Политическая партия &quot;НОВЫЕ ЛЮДИ&quot;" totalsRowFunction="sum" dataDxfId="258" totalsRowDxfId="257"/>
    <tableColumn id="28" xr3:uid="{05AE7F6C-1852-4B7E-946C-3769D3461B72}" name="Новые люди" dataDxfId="256" totalsRowDxfId="255">
      <calculatedColumnFormula>100*AD2/$S2</calculatedColumnFormula>
    </tableColumn>
    <tableColumn id="29" xr3:uid="{40B286AF-D0D9-438E-8A84-2FDD8B7FD548}" name="4. ПАРТИЯ ПЕНСИОНЕРОВ" totalsRowFunction="sum" dataDxfId="254" totalsRowDxfId="253"/>
    <tableColumn id="30" xr3:uid="{465253D8-8192-4620-B587-B523F2B6DA87}" name="Пенсионеров" dataDxfId="252" totalsRowDxfId="251">
      <calculatedColumnFormula>100*AF2/$S2</calculatedColumnFormula>
    </tableColumn>
    <tableColumn id="31" xr3:uid="{9385BD77-1A8F-4199-897C-CB00D7E7EA0A}" name="5. Политическая партия &quot;КОММУНИСТИЧЕСКАЯ ПАРТИЯ РОССИЙСКОЙ ФЕДЕРАЦИИ&quot;" totalsRowFunction="sum" dataDxfId="250" totalsRowDxfId="249"/>
    <tableColumn id="32" xr3:uid="{89D7CCAA-5CAF-4085-9260-DE3B6F45DCEE}" name="КПРФ" dataDxfId="248" totalsRowDxfId="247">
      <calculatedColumnFormula>100*AH2/$S2</calculatedColumnFormula>
    </tableColumn>
    <tableColumn id="33" xr3:uid="{EB4CACC5-7E03-4106-849F-48D2F03693CF}" name="6. Всероссийская политическая партия &quot;ЕДИНАЯ РОССИЯ&quot;" totalsRowFunction="sum" dataDxfId="246" totalsRowDxfId="245"/>
    <tableColumn id="34" xr3:uid="{3A13C875-2E80-40ED-9CAF-68BF4E9A3690}" name="Единая Россия" dataDxfId="244" totalsRowDxfId="243">
      <calculatedColumnFormula>100*AJ2/$S2</calculatedColumnFormula>
    </tableColumn>
    <tableColumn id="35" xr3:uid="{D91964B1-F314-4D22-8902-3615C25FE10E}" name="7. Политическая партия &quot;Российская экологическая партия &quot;ЗЕЛЁНЫЕ&quot;" totalsRowFunction="sum" dataDxfId="242" totalsRowDxfId="241"/>
    <tableColumn id="36" xr3:uid="{5DE13FF3-A2AE-4C24-A601-3E4D4CA8FD42}" name="Экол. зеленые" dataDxfId="240" totalsRowDxfId="239">
      <calculatedColumnFormula>100*AL2/$S2</calculatedColumnFormula>
    </tableColumn>
    <tableColumn id="37" xr3:uid="{11F11C52-F0F5-449C-97F7-568A70F14CC7}" name="8. Политическая партия &quot;Российская объединенная демократическая партия &quot;ЯБЛОКО&quot;" totalsRowFunction="sum" dataDxfId="238" totalsRowDxfId="237"/>
    <tableColumn id="38" xr3:uid="{A5C4E5C0-9D14-47EA-8FD7-2520E57B2155}" name="Яблоко" dataDxfId="236" totalsRowDxfId="235">
      <calculatedColumnFormula>100*AN2/$S2</calculatedColumnFormula>
    </tableColumn>
    <tableColumn id="39" xr3:uid="{4AB31D4C-3D42-4401-AEFF-2A4DF1E3B82F}" name="9. Политическая партия КОММУНИСТИЧЕСКАЯ ПАРТИЯ КОММУНИСТЫ РОССИИ" totalsRowFunction="sum" dataDxfId="234" totalsRowDxfId="233"/>
    <tableColumn id="40" xr3:uid="{89B0C326-9CC5-4123-88BE-D1189213AE3D}" name="КР" dataDxfId="232" totalsRowDxfId="231">
      <calculatedColumnFormula>100*AP2/$S2</calculatedColumnFormula>
    </tableColumn>
    <tableColumn id="41" xr3:uid="{48105FB8-59E1-49E5-BE0E-CB3DA0E415B3}" name="10. Партия СПРАВЕДЛИВАЯ РОССИЯ – ЗА ПРАВДУ" totalsRowFunction="sum" dataDxfId="230" totalsRowDxfId="229"/>
    <tableColumn id="42" xr3:uid="{689DA3B3-ACC2-4854-9FD4-57D4E5163993}" name="СР" dataDxfId="228" totalsRowDxfId="227">
      <calculatedColumnFormula>100*AR2/$S2</calculatedColumnFormula>
    </tableColumn>
    <tableColumn id="43" xr3:uid="{5C1CA377-3374-4BDA-B4AF-5CCF587496BF}" name="url" dataDxfId="226" totalsRowDxfId="225"/>
    <tableColumn id="48" xr3:uid="{EA0EC7EC-F8DA-45AE-B1F5-352ADA9FC67A}" name="Наблюдателей" dataDxfId="224" totalsRowDxfId="223"/>
    <tableColumn id="46" xr3:uid="{D186E79E-AE45-4350-8F2F-80E934C498CC}" name="Вброс" totalsRowFunction="sum" dataDxfId="222" totalsRowDxfId="221">
      <calculatedColumnFormula>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calculatedColumnFormula>
    </tableColumn>
    <tableColumn id="47" xr3:uid="{38461854-1D79-499E-85BA-DAEB7B508182}" name="Перекладывание" totalsRowFunction="sum" dataDxfId="220" totalsRowDxfId="219">
      <calculatedColumnFormula>2*(Мособлдума_партии[[#This Row],[6. Всероссийская политическая партия "ЕДИНАЯ РОССИЯ"]]-(AA$124/100)*Мособлдума_партии[[#This Row],[Число действительных бюллетеней]])</calculatedColumnFormula>
    </tableColumn>
    <tableColumn id="49" xr3:uid="{FE5D57B8-AAC8-41C0-B923-5EDBD6FB26DD}" name="Оценка числа бюллетеней, сфальсифицированных в пользу ЕР" totalsRowFunction="sum" dataDxfId="218" totalsRowDxfId="217">
      <calculatedColumnFormula>(Мособлдума_партии[[#This Row],[Вброс]]+Мособлдума_партии[[#This Row],[Перекладывание]])/2</calculatedColumnFormula>
    </tableColumn>
    <tableColumn id="50" xr3:uid="{3DBC1CBA-309F-4342-8C60-E92875ABDA7E}" name="Зона ответственности в сен. 2022 г." dataDxfId="216" totalsRowDxfId="215">
      <calculatedColumnFormula>Дума_партии[[#This Row],[Зона ответственности в сен. 2022 г.]]</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CF6AF9C-639A-432E-B9B8-552CCF313AF3}" name="Дума_одномандатный" displayName="Дума_одномандатный" ref="A1:AY106" totalsRowCount="1" headerRowDxfId="214" dataDxfId="213" totalsRowDxfId="212">
  <autoFilter ref="A1:AY105" xr:uid="{DBBC7CFE-86F4-4916-B21C-1A214F6152EF}"/>
  <tableColumns count="51">
    <tableColumn id="1" xr3:uid="{62326C51-698A-434C-84E7-D09EB55F4101}" name="level" totalsRowLabel="Total" dataDxfId="211" totalsRowDxfId="210"/>
    <tableColumn id="2" xr3:uid="{40F2B126-4414-47C7-8F43-00FABE48DDEA}" name="reg" dataDxfId="209" totalsRowDxfId="208"/>
    <tableColumn id="3" xr3:uid="{99854563-F101-48D3-8C20-F96BD6D5ED1A}" name="oik" dataDxfId="207" totalsRowDxfId="206"/>
    <tableColumn id="4" xr3:uid="{AC3811C7-15A9-43E1-9C1E-D34467D2AA20}" name="tik" dataDxfId="205" totalsRowDxfId="204"/>
    <tableColumn id="5" xr3:uid="{65371619-A8F6-4BCE-BEA7-8678E7624228}" name="uik" dataDxfId="203" totalsRowDxfId="202"/>
    <tableColumn id="43" xr3:uid="{B95386CA-F868-4996-AFF6-E5971EB37F3C}" name="УИК" totalsRowFunction="count" dataDxfId="201" totalsRowDxfId="200">
      <calculatedColumnFormula>SUMPRODUCT(MID(0&amp;E2, LARGE(INDEX(ISNUMBER(--MID(E2, ROW(INDIRECT("1:"&amp;LEN(E2))), 1)) * ROW(INDIRECT("1:"&amp;LEN(E2))), 0), ROW(INDIRECT("1:"&amp;LEN(E2))))+1, 1) * 10^ROW(INDIRECT("1:"&amp;LEN(E2)))/10)</calculatedColumnFormula>
    </tableColumn>
    <tableColumn id="44" xr3:uid="{A0E86E51-30E2-4C96-BB00-7B4B979B5D13}" name="Местоположение" dataDxfId="199" totalsRowDxfId="198">
      <calculatedColumnFormula>Дума_партии[[#This Row],[Местоположение]]</calculatedColumnFormula>
    </tableColumn>
    <tableColumn id="45" xr3:uid="{5709B850-C023-47DC-A0E1-069E1DCF6A58}" name="Число избирателей, внесенных в список избирателей на момент окончания голосования" totalsRowFunction="sum" dataDxfId="197" totalsRowDxfId="196"/>
    <tableColumn id="6" xr3:uid="{F1F320DB-4268-42A4-B6A4-8785C8E000AF}" name="Вес участка" dataDxfId="195" totalsRowDxfId="194">
      <calculatedColumnFormula>Дума_одномандатный[[#This Row],[Число избирателей, внесенных в список избирателей на момент окончания голосования]]</calculatedColumnFormula>
    </tableColumn>
    <tableColumn id="7" xr3:uid="{53F47F90-ADB6-455A-A53B-E542DA7A0D26}" name="Число избирательных бюллетеней, полученных участковой избирательной комиссией" dataDxfId="193" totalsRowDxfId="192"/>
    <tableColumn id="8" xr3:uid="{226CED95-88D5-410E-9D30-A72193EB0CB0}" name="Число избирательных бюллетеней, выданных избирателям, проголосовавшим досрочно" dataDxfId="191" totalsRowDxfId="190"/>
    <tableColumn id="9" xr3:uid="{1149ECE4-F12A-4A95-88AA-3618272EA249}" name="Число избирательных бюллетеней, выданных в помещении для голосования в день голосования" totalsRowFunction="sum" dataDxfId="189" totalsRowDxfId="188"/>
    <tableColumn id="10" xr3:uid="{BC06EC43-E1D9-480E-A648-4A6A21425F01}" name="Число избирательных бюллетеней, выданных вне помещения для голосования в день голосования" totalsRowFunction="sum" dataDxfId="187" totalsRowDxfId="186"/>
    <tableColumn id="11" xr3:uid="{384C1994-04CD-4B46-93DF-4FE5A772707C}" name="Явка" dataDxfId="185" totalsRowDxfId="184">
      <calculatedColumnFormula>100*(L2+M2)/H2</calculatedColumnFormula>
    </tableColumn>
    <tableColumn id="12" xr3:uid="{C35DDC24-A6B7-4A6F-A18F-5AF6F3E4CA96}" name="Надомка от списка" dataDxfId="183" totalsRowDxfId="182">
      <calculatedColumnFormula>100*M2/H2</calculatedColumnFormula>
    </tableColumn>
    <tableColumn id="13" xr3:uid="{A025A559-B58D-464A-B4B5-6354E767DEEF}" name="Число погашенных избирательных бюллетеней" dataDxfId="181" totalsRowDxfId="180"/>
    <tableColumn id="14" xr3:uid="{54F9D45A-1268-477C-8CC8-8593B331EE45}" name="Число избирательных бюллетеней, содержащихся в переносных ящиках для голосования" dataDxfId="179" totalsRowDxfId="178"/>
    <tableColumn id="15" xr3:uid="{E4393E71-5EA5-44D9-9C2F-EE2A46E1A6DF}" name="Число избирательных бюллетеней, содержащихся в стационарных ящиках для голосования" dataDxfId="177" totalsRowDxfId="176"/>
    <tableColumn id="16" xr3:uid="{560E2E4C-77EB-420C-A9F8-4C7765B6ED48}" name="Обнаружено" totalsRowFunction="sum" dataDxfId="175" totalsRowDxfId="174">
      <calculatedColumnFormula>Q2+R2</calculatedColumnFormula>
    </tableColumn>
    <tableColumn id="17" xr3:uid="{0938C0E5-9B87-40CF-B0A5-290DE0E356B7}" name="Надомка" dataDxfId="173" totalsRowDxfId="172">
      <calculatedColumnFormula>100*Q2/S2</calculatedColumnFormula>
    </tableColumn>
    <tableColumn id="18" xr3:uid="{62AC6B43-A22A-407C-A211-45891C537570}" name="Число недействительных избирательных бюллетеней" dataDxfId="171" totalsRowDxfId="170"/>
    <tableColumn id="19" xr3:uid="{CFEAD4C3-E12C-4DF0-A709-479ED47F7B27}" name="Недействительных" dataDxfId="169" totalsRowDxfId="168">
      <calculatedColumnFormula>100*U2/S2</calculatedColumnFormula>
    </tableColumn>
    <tableColumn id="20" xr3:uid="{935FEC1C-D6D8-48A9-9B1C-46393EF64629}" name="Число действительных избирательных бюллетеней" dataDxfId="167" totalsRowDxfId="166"/>
    <tableColumn id="21" xr3:uid="{87C8627E-9DF5-4D10-83EF-1D833C41F5FE}" name="Число утраченных избирательных бюллетеней" dataDxfId="165" totalsRowDxfId="164"/>
    <tableColumn id="22" xr3:uid="{B2AF960C-820E-4599-AD93-C72269D545DE}" name="Число избирательных бюллетеней, не учтенных при получении" dataDxfId="163" totalsRowDxfId="162"/>
    <tableColumn id="23" xr3:uid="{B6B7F874-D30C-4DE0-8A8D-8E91A49292D3}" name="Дуленков Алексей Николаевич" totalsRowFunction="sum" dataDxfId="161" totalsRowDxfId="160"/>
    <tableColumn id="24" xr3:uid="{2940C697-CD16-45C6-8505-A1F54286A9DD}" name="Дуленков (Яблоко)" dataDxfId="159" totalsRowDxfId="158">
      <calculatedColumnFormula>100*Z2/$S2</calculatedColumnFormula>
    </tableColumn>
    <tableColumn id="25" xr3:uid="{85BFC8A0-8846-4902-912A-D38C740D2FBA}" name="Калимуллин Руслан Рамилевич" totalsRowFunction="sum" dataDxfId="157" totalsRowDxfId="156"/>
    <tableColumn id="26" xr3:uid="{00152848-E974-48A8-A97D-972A92BBD5D1}" name="Калимуллин (Новые люди)" dataDxfId="155" totalsRowDxfId="154">
      <calculatedColumnFormula>100*AB2/$S2</calculatedColumnFormula>
    </tableColumn>
    <tableColumn id="27" xr3:uid="{6B4AEA88-F0C8-4191-A507-484B923CA731}" name="Кумохин Александр Геннадиевич" totalsRowFunction="sum" dataDxfId="153" totalsRowDxfId="152"/>
    <tableColumn id="28" xr3:uid="{B00ECBC9-530A-4C29-A20D-B0E24DB68B16}" name="Кумохин (СР)" dataDxfId="151" totalsRowDxfId="150">
      <calculatedColumnFormula>100*AD2/$S2</calculatedColumnFormula>
    </tableColumn>
    <tableColumn id="29" xr3:uid="{AF8B8D26-E3F1-41C1-AC7C-3BBBADA1EB61}" name="Майданов Денис Васильевич" totalsRowFunction="sum" dataDxfId="149" totalsRowDxfId="148"/>
    <tableColumn id="30" xr3:uid="{E8FB69F0-A08B-4CCC-B15D-19352A9F6A27}" name="Майданов (Единая Россия)" dataDxfId="147" totalsRowDxfId="146">
      <calculatedColumnFormula>100*AF2/$S2</calculatedColumnFormula>
    </tableColumn>
    <tableColumn id="31" xr3:uid="{A19EB4C0-4D9D-4BDF-A223-3F4C4593B7DE}" name="Пархоменко Дмитрий Владимирович" totalsRowFunction="sum" dataDxfId="145" totalsRowDxfId="144"/>
    <tableColumn id="32" xr3:uid="{720FE187-2022-41B5-ABC0-F28E0F525B3B}" name="Пархоменко (ЛДПР)" dataDxfId="143" totalsRowDxfId="142">
      <calculatedColumnFormula>100*AH2/$S2</calculatedColumnFormula>
    </tableColumn>
    <tableColumn id="33" xr3:uid="{8F623764-AE8C-484A-8B17-31DA918738E6}" name="Степанов Федор Александрович" totalsRowFunction="sum" dataDxfId="141" totalsRowDxfId="140"/>
    <tableColumn id="34" xr3:uid="{1593B5FD-AE93-4765-BA05-BB84D52519FB}" name="Степанов (КР)" dataDxfId="139" totalsRowDxfId="138">
      <calculatedColumnFormula>100*AJ2/$S2</calculatedColumnFormula>
    </tableColumn>
    <tableColumn id="46" xr3:uid="{003EF5B6-DA47-4F03-86BB-8121889D1537}" name="Сукязян Артур Вадимович" totalsRowFunction="sum" dataDxfId="137" totalsRowDxfId="136"/>
    <tableColumn id="47" xr3:uid="{C199B725-232A-4861-9C9F-58C7A0639787}" name="Сукязян (Экол. зеленые)" dataDxfId="135" totalsRowDxfId="134">
      <calculatedColumnFormula>100*AL2/$S2</calculatedColumnFormula>
    </tableColumn>
    <tableColumn id="35" xr3:uid="{E978393D-3D68-4CAA-9FC1-C8F3C154D54B}" name="Теняев Сергей Александрович" totalsRowFunction="sum" dataDxfId="133" totalsRowDxfId="132"/>
    <tableColumn id="36" xr3:uid="{B6D4B1B8-BEE2-4C5E-B984-275E42DF8B63}" name="Теняев (КПРФ)" dataDxfId="131" totalsRowDxfId="130">
      <calculatedColumnFormula>100*AN2/$S2</calculatedColumnFormula>
    </tableColumn>
    <tableColumn id="37" xr3:uid="{AFA439C0-D33D-48A4-B390-57359F2D1677}" name="Ханафиев Жаудат Габдулганиевич" totalsRowFunction="sum" dataDxfId="129" totalsRowDxfId="128"/>
    <tableColumn id="38" xr3:uid="{836B38E7-8DAB-4AE1-B07D-C4CB2EE334D5}" name="Ханафиев (Пенсионеров)" dataDxfId="127" totalsRowDxfId="126">
      <calculatedColumnFormula>100*AP2/$S2</calculatedColumnFormula>
    </tableColumn>
    <tableColumn id="39" xr3:uid="{0EAD61CB-ADA2-44A9-ADE6-ED0560EF930C}" name="Шерягин Владимир Геннадьевич" totalsRowFunction="sum" dataDxfId="125" totalsRowDxfId="124"/>
    <tableColumn id="40" xr3:uid="{31228B16-DA13-4691-A2D2-B3C78B89E203}" name="Шерягин (Родина)" dataDxfId="123" totalsRowDxfId="122">
      <calculatedColumnFormula>100*AR2/$S2</calculatedColumnFormula>
    </tableColumn>
    <tableColumn id="41" xr3:uid="{60C40B1D-2962-4FDA-8843-6D49D176C20C}" name="url" dataDxfId="121" totalsRowDxfId="120"/>
    <tableColumn id="42" xr3:uid="{8FE10529-A395-400D-92CF-E6F31DC121C8}" name="Наблюдателей" dataDxfId="119" totalsRowDxfId="118"/>
    <tableColumn id="48" xr3:uid="{3C3714E0-0047-4D57-948A-DA6BE9FA4B08}" name="Вброс" totalsRowFunction="sum" dataDxfId="117" totalsRowDxfId="116">
      <calculatedColumnFormula>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calculatedColumnFormula>
    </tableColumn>
    <tableColumn id="49" xr3:uid="{6E7B3770-124F-411F-BA8D-FB72C3C0F874}" name="Перекладывание" totalsRowFunction="sum" dataDxfId="115" totalsRowDxfId="114">
      <calculatedColumnFormula>2*(Дума_одномандатный[[#This Row],[Майданов Денис Васильевич]]-(AB$124/100)*Дума_одномандатный[[#This Row],[Число действительных избирательных бюллетеней]])</calculatedColumnFormula>
    </tableColumn>
    <tableColumn id="50" xr3:uid="{F31A65ED-F9FB-4F25-963C-FF0E2265ACAE}" name="Оценка числа бюллетеней, сфальсифицированных в пользу ЕР" totalsRowFunction="sum" dataDxfId="113" totalsRowDxfId="112">
      <calculatedColumnFormula>(Дума_одномандатный[[#This Row],[Вброс]]+Дума_одномандатный[[#This Row],[Перекладывание]])/2</calculatedColumnFormula>
    </tableColumn>
    <tableColumn id="51" xr3:uid="{B9A5E9FA-65A7-47C4-8963-F225991E4EF3}" name="Зона ответственности в сен. 2022 г." dataDxfId="111" totalsRowDxfId="110">
      <calculatedColumnFormula>Дума_партии[[#This Row],[Зона ответственности в сен. 2022 г.]]</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EBDF7D1-37F8-460C-80B7-E51D37636700}" name="Мособлдума_одномандатный" displayName="Мособлдума_одномандатный" ref="B1:AQ106" totalsRowCount="1" headerRowDxfId="109" dataDxfId="108" totalsRowDxfId="107">
  <autoFilter ref="B1:AQ105" xr:uid="{5E1284C9-1234-472E-9171-6AB2E0C95217}"/>
  <tableColumns count="42">
    <tableColumn id="1" xr3:uid="{83C6908D-0D47-4CB7-9EA0-E4FED6200ABF}" name="level" totalsRowLabel="Total" dataDxfId="106" totalsRowDxfId="105"/>
    <tableColumn id="2" xr3:uid="{F2340FDF-8E8C-4100-9071-831246FCE5F5}" name="oik" dataDxfId="104" totalsRowDxfId="103"/>
    <tableColumn id="3" xr3:uid="{3D8410F8-8C92-4B76-B562-C35E471A0C27}" name="tik" dataDxfId="102" totalsRowDxfId="101"/>
    <tableColumn id="4" xr3:uid="{6ADA77B6-ECD6-4510-9519-83100C7B6DE2}" name="uik" dataDxfId="100" totalsRowDxfId="99"/>
    <tableColumn id="37" xr3:uid="{7BAFE293-AAE4-47C1-83DE-85DC05A72F9B}" name="УИК" totalsRowFunction="count" dataDxfId="98" totalsRowDxfId="97">
      <calculatedColumnFormula>SUMPRODUCT(MID(0&amp;E2, LARGE(INDEX(ISNUMBER(--MID(E2, ROW(INDIRECT("1:"&amp;LEN(E2))), 1)) * ROW(INDIRECT("1:"&amp;LEN(E2))), 0), ROW(INDIRECT("1:"&amp;LEN(E2))))+1, 1) * 10^ROW(INDIRECT("1:"&amp;LEN(E2)))/10)</calculatedColumnFormula>
    </tableColumn>
    <tableColumn id="38" xr3:uid="{1F8AC6B4-0E32-4A70-8D55-510CB56BB129}" name="Местоположение" dataDxfId="96" totalsRowDxfId="95">
      <calculatedColumnFormula>Дума_партии[[#This Row],[Местоположение]]</calculatedColumnFormula>
    </tableColumn>
    <tableColumn id="9" xr3:uid="{82CB93B3-5A31-4DAF-9BC0-DBE072655B19}" name="Число избирателей, внесенных в список на момент окончания голосования" totalsRowFunction="sum" dataDxfId="94" totalsRowDxfId="93"/>
    <tableColumn id="5" xr3:uid="{9D5FE07C-5173-46E1-B71C-3C67CF4DFD97}" name="Вес участка" dataDxfId="92" totalsRowDxfId="91">
      <calculatedColumnFormula>Мособлдума_одномандатный[[#This Row],[Число избирателей, внесенных в список на момент окончания голосования]]</calculatedColumnFormula>
    </tableColumn>
    <tableColumn id="6" xr3:uid="{3E91BFEF-89BE-490B-8FB2-A9A1159A8719}" name="Число бюллетеней, полученных участковой избирательной комиссией" dataDxfId="90" totalsRowDxfId="89"/>
    <tableColumn id="39" xr3:uid="{D55B6BBF-DBB2-41F0-A61E-E224F32F63D5}" name="Column4" dataDxfId="88" totalsRowDxfId="87"/>
    <tableColumn id="7" xr3:uid="{5C4CD271-C96F-464A-B8C3-91BEFC9350E5}" name="Число бюллетеней, выданных избирателям в помещении для голосования в день голосования" totalsRowFunction="sum" dataDxfId="86" totalsRowDxfId="85"/>
    <tableColumn id="8" xr3:uid="{D7A9DDB7-E190-4713-96C0-FBDE59A4E001}" name="Число бюллетеней, выданных избирателям, проголосовавшим вне помещения для голосования в день голосо" totalsRowFunction="sum" dataDxfId="84" totalsRowDxfId="83"/>
    <tableColumn id="11" xr3:uid="{62A9D6F0-59EC-4C36-8BA6-BAC0BDAC2777}" name="Явка" dataDxfId="82" totalsRowDxfId="81">
      <calculatedColumnFormula>100*(L2+M2)/H2</calculatedColumnFormula>
    </tableColumn>
    <tableColumn id="12" xr3:uid="{79635F3D-66C3-463C-B795-BD6F1EAE6B66}" name="Надомка от списка" dataDxfId="80" totalsRowDxfId="79">
      <calculatedColumnFormula>100*M2/H2</calculatedColumnFormula>
    </tableColumn>
    <tableColumn id="13" xr3:uid="{2353B97F-FB04-4A7D-A66F-4DA8135843C4}" name="Число погашенных бюллетеней" dataDxfId="78" totalsRowDxfId="77"/>
    <tableColumn id="14" xr3:uid="{AD047A04-7A0B-4A24-A5CE-2CEF9C43F81B}" name="Число бюллетеней, содержащихся в переносных ящиках для голосования" dataDxfId="76" totalsRowDxfId="75"/>
    <tableColumn id="15" xr3:uid="{263444F3-3B42-4C01-9986-05BCEAB96023}" name="Число бюллетеней, содержащихся в стационарных ящиках для голосования" dataDxfId="74" totalsRowDxfId="73"/>
    <tableColumn id="16" xr3:uid="{385819E4-3DF8-4AB8-AF0B-A18BD1EEE431}" name="Обнаружено" totalsRowFunction="sum" dataDxfId="72" totalsRowDxfId="71">
      <calculatedColumnFormula>Q2+R2</calculatedColumnFormula>
    </tableColumn>
    <tableColumn id="17" xr3:uid="{2882F682-98C9-4C2E-97DB-30236DDAA5B7}" name="Надомка" dataDxfId="70" totalsRowDxfId="69">
      <calculatedColumnFormula>100*Q2/S2</calculatedColumnFormula>
    </tableColumn>
    <tableColumn id="18" xr3:uid="{8774DA82-338E-4482-B139-58E895ACB6DB}" name="Число недействительных бюллетеней" dataDxfId="68" totalsRowDxfId="67"/>
    <tableColumn id="19" xr3:uid="{0AE1D628-B0BA-4BE6-A0B0-F7D31A7BD6E7}" name="Недействительных" dataDxfId="66" totalsRowDxfId="65">
      <calculatedColumnFormula>100*U2/S2</calculatedColumnFormula>
    </tableColumn>
    <tableColumn id="20" xr3:uid="{EF826791-13FB-4153-9792-7E5B12140D52}" name="Число действительных бюллетеней" dataDxfId="64" totalsRowDxfId="63"/>
    <tableColumn id="21" xr3:uid="{E087ED88-8832-4ADC-B147-F3237C89D7C2}" name="Число утраченных бюллетеней" dataDxfId="62" totalsRowDxfId="61"/>
    <tableColumn id="22" xr3:uid="{5F7B7661-8AB9-49B3-B27D-8492B2C961AD}" name="Число бюллетеней, не учтенных при получении" dataDxfId="60" totalsRowDxfId="59"/>
    <tableColumn id="23" xr3:uid="{5B1D18D7-71A3-4EC1-90BD-C67B56344F6E}" name="Вавилов Игорь Васильевич" totalsRowFunction="sum" dataDxfId="58" totalsRowDxfId="57"/>
    <tableColumn id="24" xr3:uid="{88360623-DF37-4B26-B193-F8279EE56C14}" name="Вавилов (КПРФ)" dataDxfId="56" totalsRowDxfId="55">
      <calculatedColumnFormula>100*Z2/$S2</calculatedColumnFormula>
    </tableColumn>
    <tableColumn id="25" xr3:uid="{64755338-85C0-4653-9BBF-BDA51C183F65}" name="Дорогих Иван Михайлович" totalsRowFunction="sum" dataDxfId="54" totalsRowDxfId="53"/>
    <tableColumn id="26" xr3:uid="{05B75519-FFDB-4FED-96D9-D3AA6F875B6F}" name="Дорогих (Пенсионеров)" dataDxfId="52" totalsRowDxfId="51">
      <calculatedColumnFormula>100*AB2/$S2</calculatedColumnFormula>
    </tableColumn>
    <tableColumn id="27" xr3:uid="{CDF2BF8D-19B2-4187-8129-3EE014678688}" name="Марушкин Олег Генадиевич" totalsRowFunction="sum" dataDxfId="50" totalsRowDxfId="49"/>
    <tableColumn id="28" xr3:uid="{490330E5-CB20-4D31-AE43-7D37B356AA32}" name="Марушкин (СР)" dataDxfId="48" totalsRowDxfId="47">
      <calculatedColumnFormula>100*AD2/$S2</calculatedColumnFormula>
    </tableColumn>
    <tableColumn id="29" xr3:uid="{D38E6608-E928-4EFF-9C85-495A03193CA5}" name="Павлова Татьяна Михайловна" totalsRowFunction="sum" dataDxfId="46" totalsRowDxfId="45"/>
    <tableColumn id="30" xr3:uid="{94D11AD8-6532-4A7C-8525-BED1C53CBE07}" name="Павлова (Яблоко)" dataDxfId="44" totalsRowDxfId="43">
      <calculatedColumnFormula>100*AF2/$S2</calculatedColumnFormula>
    </tableColumn>
    <tableColumn id="31" xr3:uid="{30B98050-7468-4702-B8EA-CCABB2593AC5}" name="Пархоменко Дмитрий Владимирович" totalsRowFunction="sum" dataDxfId="42" totalsRowDxfId="41"/>
    <tableColumn id="32" xr3:uid="{CFF2C3CD-8828-424F-A22D-0B201351DF09}" name="Пархоменко (ЛДПР)" dataDxfId="40" totalsRowDxfId="39">
      <calculatedColumnFormula>100*AH2/$S2</calculatedColumnFormula>
    </tableColumn>
    <tableColumn id="33" xr3:uid="{663D69EC-E3B0-455F-86E1-ACF55DF09179}" name="Рожнов Олег Александрович" totalsRowFunction="sum" dataDxfId="38" totalsRowDxfId="37"/>
    <tableColumn id="34" xr3:uid="{1A5B8758-7E93-474F-9401-B50022FEFFE4}" name="Рожнов (Единая Россия)" dataDxfId="36" totalsRowDxfId="35">
      <calculatedColumnFormula>100*AJ2/$S2</calculatedColumnFormula>
    </tableColumn>
    <tableColumn id="35" xr3:uid="{1DDCC58B-6EAA-41C2-AED0-81E049FCB897}" name="url" dataDxfId="34" totalsRowDxfId="33"/>
    <tableColumn id="36" xr3:uid="{B288507E-43EC-486A-8F42-C92A13F6B38D}" name="Наблюдателей" dataDxfId="32" totalsRowDxfId="31"/>
    <tableColumn id="10" xr3:uid="{535C2831-BA99-49DF-AC79-3AE822610045}" name="Вброс" totalsRowFunction="sum" dataDxfId="30" totalsRowDxfId="29">
      <calculatedColumnFormula>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calculatedColumnFormula>
    </tableColumn>
    <tableColumn id="40" xr3:uid="{CF4A5E71-4F83-4E34-AC45-7D4747EA24E7}" name="Перекладывание" totalsRowFunction="sum" dataDxfId="28" totalsRowDxfId="27">
      <calculatedColumnFormula>2*(Мособлдума_одномандатный[[#This Row],[Рожнов Олег Александрович]]-(AB$124/100)*Мособлдума_одномандатный[[#This Row],[Число действительных бюллетеней]])</calculatedColumnFormula>
    </tableColumn>
    <tableColumn id="41" xr3:uid="{99948BCC-4D2F-4997-A7C2-C510BFBC9842}" name="Оценка числа бюллетеней, сфальсифицированных в пользу ЕР" totalsRowFunction="sum" dataDxfId="26" totalsRowDxfId="25">
      <calculatedColumnFormula>(Мособлдума_одномандатный[[#This Row],[Вброс]]+Мособлдума_одномандатный[[#This Row],[Перекладывание]])/2</calculatedColumnFormula>
    </tableColumn>
    <tableColumn id="42" xr3:uid="{A3A9BDE2-2BE8-4052-8BA5-6E52E95CBEB2}" name="Зона ответственности в сен. 2022 г." dataDxfId="24" totalsRowDxfId="23">
      <calculatedColumnFormula>Дума_партии[[#This Row],[Зона ответственности в сен. 2022 г.]]</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D7686F8-83D7-404E-8838-E8C0ED224C5F}" name="Оценка_фальсификаций" displayName="Оценка_фальсификаций" ref="A1:J106" totalsRowCount="1" headerRowDxfId="22" dataDxfId="21" totalsRowDxfId="20">
  <autoFilter ref="A1:J105" xr:uid="{85530FA2-3483-49CE-A28E-EEE2B59B7885}"/>
  <sortState xmlns:xlrd2="http://schemas.microsoft.com/office/spreadsheetml/2017/richdata2" ref="A2:J105">
    <sortCondition descending="1" ref="H1:H105"/>
  </sortState>
  <tableColumns count="10">
    <tableColumn id="53" xr3:uid="{80750944-ACA0-44BD-97DF-9EFFEBC02D17}" name="УИК" totalsRowFunction="count" dataDxfId="19" totalsRowDxfId="18"/>
    <tableColumn id="54" xr3:uid="{E30EEC28-1DA5-4D7D-88B9-2BBCCC368B10}" name="Местоположение" dataDxfId="17" totalsRowDxfId="16"/>
    <tableColumn id="59" xr3:uid="{0B9867D5-4299-4691-B8C5-539D78BFE23C}" name="Избирателей в списках" totalsRowFunction="sum" dataDxfId="15" totalsRowDxfId="14"/>
    <tableColumn id="58" xr3:uid="{D53BB547-484D-41B4-833B-BC41FDB68607}" name="Ф. дума партии" totalsRowFunction="sum" dataDxfId="13" totalsRowDxfId="12"/>
    <tableColumn id="60" xr3:uid="{156F91DE-B6EC-4B5F-8045-0B6CA08596EB}" name="Ф. мособлдума партии" totalsRowFunction="sum" dataDxfId="11" totalsRowDxfId="10"/>
    <tableColumn id="61" xr3:uid="{5E2B6BDF-9512-4DCB-B69F-EEA92B545A4C}" name="Ф. дума одномандатный" totalsRowFunction="sum" dataDxfId="9" totalsRowDxfId="8"/>
    <tableColumn id="62" xr3:uid="{81AC1CFF-7030-4760-AC02-8940B3DDD11A}" name="Ф. мособлдума одномандатный" totalsRowFunction="sum" dataDxfId="7" totalsRowDxfId="6"/>
    <tableColumn id="63" xr3:uid="{D8F0A79D-87E8-4884-A93B-27640842F784}" name="Ф. наборов бюллетеней" totalsRowFunction="sum" dataDxfId="5" totalsRowDxfId="4">
      <calculatedColumnFormula>AVERAGE(Оценка_фальсификаций[[#This Row],[Ф. дума партии]:[Ф. мособлдума одномандатный]])</calculatedColumnFormula>
    </tableColumn>
    <tableColumn id="1" xr3:uid="{8E0A957E-D92F-4C78-A052-0AF976EEC10D}" name="Председатель УИК" dataDxfId="3" totalsRowDxfId="2"/>
    <tableColumn id="2" xr3:uid="{5897E8AC-787F-4A14-A8D5-ED421CF19DD1}" name="Кем работает полный тёзка председателя"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04B22-E5C0-40D9-A85C-D01389818E91}">
  <dimension ref="A1:BG143"/>
  <sheetViews>
    <sheetView tabSelected="1" topLeftCell="F1" zoomScale="70" zoomScaleNormal="70" workbookViewId="0">
      <pane ySplit="1" topLeftCell="A93" activePane="bottomLeft" state="frozen"/>
      <selection pane="bottomLeft" activeCell="AB141" sqref="AB141"/>
    </sheetView>
  </sheetViews>
  <sheetFormatPr defaultRowHeight="14.15" x14ac:dyDescent="0.4"/>
  <cols>
    <col min="1" max="6" width="6.23046875" style="1" customWidth="1"/>
    <col min="7" max="7" width="17.07421875" style="1" customWidth="1"/>
    <col min="8" max="8" width="7.3828125" style="1" customWidth="1"/>
    <col min="9" max="13" width="6.23046875" style="1" customWidth="1"/>
    <col min="14" max="15" width="6.23046875" style="3" customWidth="1"/>
    <col min="16" max="19" width="6.23046875" style="1" customWidth="1"/>
    <col min="20" max="20" width="6.23046875" style="3" customWidth="1"/>
    <col min="21" max="21" width="6.23046875" style="1" customWidth="1"/>
    <col min="22" max="22" width="6.23046875" style="3" customWidth="1"/>
    <col min="23" max="26" width="6.23046875" style="1" customWidth="1"/>
    <col min="27" max="27" width="6.23046875" style="3" customWidth="1"/>
    <col min="28" max="28" width="6.23046875" style="1" customWidth="1"/>
    <col min="29" max="29" width="6.23046875" style="3" customWidth="1"/>
    <col min="30" max="30" width="6.23046875" style="1" customWidth="1"/>
    <col min="31" max="31" width="6.23046875" style="3" customWidth="1"/>
    <col min="32" max="32" width="6.23046875" style="1" customWidth="1"/>
    <col min="33" max="33" width="6.23046875" style="3" customWidth="1"/>
    <col min="34" max="34" width="6.23046875" style="1" customWidth="1"/>
    <col min="35" max="35" width="6.23046875" style="3" customWidth="1"/>
    <col min="36" max="36" width="6.23046875" style="1" customWidth="1"/>
    <col min="37" max="37" width="6.23046875" style="3" customWidth="1"/>
    <col min="38" max="38" width="6.23046875" style="1" customWidth="1"/>
    <col min="39" max="39" width="6.23046875" style="3" customWidth="1"/>
    <col min="40" max="40" width="6.23046875" style="1" customWidth="1"/>
    <col min="41" max="41" width="6.23046875" style="3" customWidth="1"/>
    <col min="42" max="42" width="6.23046875" style="1" customWidth="1"/>
    <col min="43" max="43" width="6.23046875" style="3" customWidth="1"/>
    <col min="44" max="44" width="6.23046875" style="1" customWidth="1"/>
    <col min="45" max="45" width="6.23046875" style="3" customWidth="1"/>
    <col min="46" max="46" width="6.23046875" style="1" customWidth="1"/>
    <col min="47" max="47" width="6.23046875" style="3" customWidth="1"/>
    <col min="48" max="48" width="6.23046875" style="1" customWidth="1"/>
    <col min="49" max="49" width="6.23046875" style="3" customWidth="1"/>
    <col min="50" max="50" width="6.23046875" style="1" customWidth="1"/>
    <col min="51" max="51" width="6.23046875" style="3" customWidth="1"/>
    <col min="52" max="52" width="6.23046875" style="1" customWidth="1"/>
    <col min="53" max="53" width="6.23046875" style="3" customWidth="1"/>
    <col min="54" max="55" width="6.23046875" style="1" customWidth="1"/>
    <col min="56" max="58" width="6.53515625" style="13" customWidth="1"/>
    <col min="59" max="59" width="15.69140625" style="1" customWidth="1"/>
    <col min="60" max="16384" width="9.23046875" style="1"/>
  </cols>
  <sheetData>
    <row r="1" spans="1:59" x14ac:dyDescent="0.4">
      <c r="A1" s="4" t="s">
        <v>0</v>
      </c>
      <c r="B1" s="4" t="s">
        <v>1</v>
      </c>
      <c r="C1" s="4" t="s">
        <v>2</v>
      </c>
      <c r="D1" s="4" t="s">
        <v>3</v>
      </c>
      <c r="E1" s="4" t="s">
        <v>4</v>
      </c>
      <c r="F1" s="5" t="s">
        <v>98</v>
      </c>
      <c r="G1" s="5" t="s">
        <v>99</v>
      </c>
      <c r="H1" s="4" t="s">
        <v>5</v>
      </c>
      <c r="I1" s="6" t="s">
        <v>101</v>
      </c>
      <c r="J1" s="4" t="s">
        <v>6</v>
      </c>
      <c r="K1" s="4" t="s">
        <v>7</v>
      </c>
      <c r="L1" s="4" t="s">
        <v>8</v>
      </c>
      <c r="M1" s="4" t="s">
        <v>9</v>
      </c>
      <c r="N1" s="3" t="s">
        <v>10</v>
      </c>
      <c r="O1" s="7" t="s">
        <v>93</v>
      </c>
      <c r="P1" s="4" t="s">
        <v>12</v>
      </c>
      <c r="Q1" s="4" t="s">
        <v>13</v>
      </c>
      <c r="R1" s="4" t="s">
        <v>14</v>
      </c>
      <c r="S1" s="5" t="s">
        <v>15</v>
      </c>
      <c r="T1" s="8" t="s">
        <v>11</v>
      </c>
      <c r="U1" s="4" t="s">
        <v>16</v>
      </c>
      <c r="V1" s="8" t="s">
        <v>94</v>
      </c>
      <c r="W1" s="4" t="s">
        <v>17</v>
      </c>
      <c r="X1" s="4" t="s">
        <v>18</v>
      </c>
      <c r="Y1" s="4" t="s">
        <v>19</v>
      </c>
      <c r="Z1" s="4" t="s">
        <v>20</v>
      </c>
      <c r="AA1" s="8" t="s">
        <v>21</v>
      </c>
      <c r="AB1" s="4" t="s">
        <v>22</v>
      </c>
      <c r="AC1" s="8" t="s">
        <v>23</v>
      </c>
      <c r="AD1" s="4" t="s">
        <v>24</v>
      </c>
      <c r="AE1" s="8" t="s">
        <v>25</v>
      </c>
      <c r="AF1" s="4" t="s">
        <v>26</v>
      </c>
      <c r="AG1" s="8" t="s">
        <v>27</v>
      </c>
      <c r="AH1" s="4" t="s">
        <v>28</v>
      </c>
      <c r="AI1" s="8" t="s">
        <v>29</v>
      </c>
      <c r="AJ1" s="4" t="s">
        <v>30</v>
      </c>
      <c r="AK1" s="8" t="s">
        <v>31</v>
      </c>
      <c r="AL1" s="4" t="s">
        <v>32</v>
      </c>
      <c r="AM1" s="8" t="s">
        <v>33</v>
      </c>
      <c r="AN1" s="4" t="s">
        <v>34</v>
      </c>
      <c r="AO1" s="8" t="s">
        <v>35</v>
      </c>
      <c r="AP1" s="4" t="s">
        <v>36</v>
      </c>
      <c r="AQ1" s="8" t="s">
        <v>37</v>
      </c>
      <c r="AR1" s="4" t="s">
        <v>38</v>
      </c>
      <c r="AS1" s="8" t="s">
        <v>39</v>
      </c>
      <c r="AT1" s="4" t="s">
        <v>40</v>
      </c>
      <c r="AU1" s="8" t="s">
        <v>41</v>
      </c>
      <c r="AV1" s="4" t="s">
        <v>42</v>
      </c>
      <c r="AW1" s="8" t="s">
        <v>43</v>
      </c>
      <c r="AX1" s="4" t="s">
        <v>44</v>
      </c>
      <c r="AY1" s="8" t="s">
        <v>45</v>
      </c>
      <c r="AZ1" s="4" t="s">
        <v>46</v>
      </c>
      <c r="BA1" s="8" t="s">
        <v>47</v>
      </c>
      <c r="BB1" s="4" t="s">
        <v>48</v>
      </c>
      <c r="BC1" s="9" t="s">
        <v>96</v>
      </c>
      <c r="BD1" s="14" t="s">
        <v>222</v>
      </c>
      <c r="BE1" s="14" t="s">
        <v>223</v>
      </c>
      <c r="BF1" s="14" t="s">
        <v>224</v>
      </c>
      <c r="BG1" s="15" t="s">
        <v>256</v>
      </c>
    </row>
    <row r="2" spans="1:59" x14ac:dyDescent="0.4">
      <c r="A2" s="1" t="s">
        <v>49</v>
      </c>
      <c r="B2" s="1" t="s">
        <v>50</v>
      </c>
      <c r="C2" s="1" t="s">
        <v>51</v>
      </c>
      <c r="D2" s="1" t="s">
        <v>102</v>
      </c>
      <c r="E2" s="1" t="s">
        <v>103</v>
      </c>
      <c r="F2" s="2">
        <f ca="1">SUMPRODUCT(MID(0&amp;E2, LARGE(INDEX(ISNUMBER(--MID(E2, ROW(INDIRECT("1:"&amp;LEN(E2))), 1)) * ROW(INDIRECT("1:"&amp;LEN(E2))), 0), ROW(INDIRECT("1:"&amp;LEN(E2))))+1, 1) * 10^ROW(INDIRECT("1:"&amp;LEN(E2)))/10)</f>
        <v>1742</v>
      </c>
      <c r="G2" t="s">
        <v>228</v>
      </c>
      <c r="H2" s="1">
        <v>700</v>
      </c>
      <c r="I2" s="1">
        <f>Дума_партии[[#This Row],[Число избирателей, внесенных в список избирателей на момент окончания голосования]]</f>
        <v>700</v>
      </c>
      <c r="J2" s="1">
        <v>600</v>
      </c>
      <c r="K2" s="1">
        <v>0</v>
      </c>
      <c r="L2" s="1">
        <v>272</v>
      </c>
      <c r="M2" s="1">
        <v>8</v>
      </c>
      <c r="N2" s="3">
        <f t="shared" ref="N2:N39" si="0">100*(L2+M2)/H2</f>
        <v>40</v>
      </c>
      <c r="O2" s="3">
        <f t="shared" ref="O2:O39" si="1">100*M2/H2</f>
        <v>1.1428571428571428</v>
      </c>
      <c r="P2" s="1">
        <v>320</v>
      </c>
      <c r="Q2" s="1">
        <v>8</v>
      </c>
      <c r="R2" s="1">
        <v>272</v>
      </c>
      <c r="S2" s="1">
        <f t="shared" ref="S2:S39" si="2">Q2+R2</f>
        <v>280</v>
      </c>
      <c r="T2" s="3">
        <f t="shared" ref="T2:T39" si="3">100*Q2/S2</f>
        <v>2.8571428571428572</v>
      </c>
      <c r="U2" s="1">
        <v>9</v>
      </c>
      <c r="V2" s="3">
        <f t="shared" ref="V2:V39" si="4">100*U2/S2</f>
        <v>3.2142857142857144</v>
      </c>
      <c r="W2" s="1">
        <v>271</v>
      </c>
      <c r="X2" s="1">
        <v>0</v>
      </c>
      <c r="Y2" s="1">
        <v>0</v>
      </c>
      <c r="Z2" s="1">
        <v>89</v>
      </c>
      <c r="AA2" s="3">
        <f t="shared" ref="AA2:AA39" si="5">100*Z2/$S2</f>
        <v>31.785714285714285</v>
      </c>
      <c r="AB2" s="1">
        <v>3</v>
      </c>
      <c r="AC2" s="3">
        <f t="shared" ref="AC2:AC39" si="6">100*AB2/$S2</f>
        <v>1.0714285714285714</v>
      </c>
      <c r="AD2" s="1">
        <v>26</v>
      </c>
      <c r="AE2" s="3">
        <f t="shared" ref="AE2:AE39" si="7">100*AD2/$S2</f>
        <v>9.2857142857142865</v>
      </c>
      <c r="AF2" s="1">
        <v>4</v>
      </c>
      <c r="AG2" s="3">
        <f t="shared" ref="AG2:AG34" si="8">100*AF2/$S2</f>
        <v>1.4285714285714286</v>
      </c>
      <c r="AH2" s="1">
        <v>107</v>
      </c>
      <c r="AI2" s="3">
        <f t="shared" ref="AI2:AI34" si="9">100*AH2/$S2</f>
        <v>38.214285714285715</v>
      </c>
      <c r="AJ2" s="1">
        <v>25</v>
      </c>
      <c r="AK2" s="3">
        <f t="shared" ref="AK2:AK34" si="10">100*AJ2/$S2</f>
        <v>8.9285714285714288</v>
      </c>
      <c r="AL2" s="1">
        <v>5</v>
      </c>
      <c r="AM2" s="3">
        <f t="shared" ref="AM2:AM34" si="11">100*AL2/$S2</f>
        <v>1.7857142857142858</v>
      </c>
      <c r="AN2" s="1">
        <v>1</v>
      </c>
      <c r="AO2" s="3">
        <f t="shared" ref="AO2:AO34" si="12">100*AN2/$S2</f>
        <v>0.35714285714285715</v>
      </c>
      <c r="AP2" s="1">
        <v>1</v>
      </c>
      <c r="AQ2" s="3">
        <f t="shared" ref="AQ2:AQ34" si="13">100*AP2/$S2</f>
        <v>0.35714285714285715</v>
      </c>
      <c r="AR2" s="1">
        <v>3</v>
      </c>
      <c r="AS2" s="3">
        <f t="shared" ref="AS2:AS34" si="14">100*AR2/$S2</f>
        <v>1.0714285714285714</v>
      </c>
      <c r="AT2" s="1">
        <v>0</v>
      </c>
      <c r="AU2" s="3">
        <f t="shared" ref="AU2:AU34" si="15">100*AT2/$S2</f>
        <v>0</v>
      </c>
      <c r="AV2" s="1">
        <v>0</v>
      </c>
      <c r="AW2" s="3">
        <f t="shared" ref="AW2:AW34" si="16">100*AV2/$S2</f>
        <v>0</v>
      </c>
      <c r="AX2" s="1">
        <v>1</v>
      </c>
      <c r="AY2" s="3">
        <f t="shared" ref="AY2:AY34" si="17">100*AX2/$S2</f>
        <v>0.35714285714285715</v>
      </c>
      <c r="AZ2" s="1">
        <v>6</v>
      </c>
      <c r="BA2" s="3">
        <f t="shared" ref="BA2:BA39" si="18">100*AZ2/$S2</f>
        <v>2.1428571428571428</v>
      </c>
      <c r="BB2" t="s">
        <v>209</v>
      </c>
      <c r="BD2"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22.515151515151501</v>
      </c>
      <c r="BE2" s="13">
        <f>2*(Дума_партии[[#This Row],[5. Всероссийская политическая партия "ЕДИНАЯ РОССИЯ"]]-(AB$124/100)*Дума_партии[[#This Row],[Число действительных избирательных бюллетеней]])</f>
        <v>29.72</v>
      </c>
      <c r="BF2" s="13">
        <f>(Дума_партии[[#This Row],[Вброс]]+Дума_партии[[#This Row],[Перекладывание]])/2</f>
        <v>26.11757575757575</v>
      </c>
      <c r="BG2" s="13">
        <v>0</v>
      </c>
    </row>
    <row r="3" spans="1:59" x14ac:dyDescent="0.4">
      <c r="A3" s="1" t="s">
        <v>49</v>
      </c>
      <c r="B3" s="1" t="s">
        <v>50</v>
      </c>
      <c r="C3" s="1" t="s">
        <v>51</v>
      </c>
      <c r="D3" s="1" t="s">
        <v>102</v>
      </c>
      <c r="E3" s="1" t="s">
        <v>104</v>
      </c>
      <c r="F3" s="1">
        <f t="shared" ref="F3:F39" ca="1" si="19">SUMPRODUCT(MID(0&amp;E3, LARGE(INDEX(ISNUMBER(--MID(E3, ROW(INDIRECT("1:"&amp;LEN(E3))), 1)) * ROW(INDIRECT("1:"&amp;LEN(E3))), 0), ROW(INDIRECT("1:"&amp;LEN(E3))))+1, 1) * 10^ROW(INDIRECT("1:"&amp;LEN(E3)))/10)</f>
        <v>1743</v>
      </c>
      <c r="G3" t="s">
        <v>228</v>
      </c>
      <c r="H3" s="1">
        <v>1335</v>
      </c>
      <c r="I3" s="1">
        <f>Дума_партии[[#This Row],[Число избирателей, внесенных в список избирателей на момент окончания голосования]]</f>
        <v>1335</v>
      </c>
      <c r="J3" s="1">
        <v>1300</v>
      </c>
      <c r="K3" s="1">
        <v>0</v>
      </c>
      <c r="L3" s="1">
        <v>510</v>
      </c>
      <c r="M3" s="1">
        <v>20</v>
      </c>
      <c r="N3" s="3">
        <f t="shared" si="0"/>
        <v>39.700374531835209</v>
      </c>
      <c r="O3" s="3">
        <f t="shared" si="1"/>
        <v>1.4981273408239701</v>
      </c>
      <c r="P3" s="1">
        <v>770</v>
      </c>
      <c r="Q3" s="1">
        <v>20</v>
      </c>
      <c r="R3" s="1">
        <v>510</v>
      </c>
      <c r="S3" s="1">
        <f t="shared" si="2"/>
        <v>530</v>
      </c>
      <c r="T3" s="3">
        <f t="shared" si="3"/>
        <v>3.7735849056603774</v>
      </c>
      <c r="U3" s="1">
        <v>26</v>
      </c>
      <c r="V3" s="3">
        <f t="shared" si="4"/>
        <v>4.9056603773584904</v>
      </c>
      <c r="W3" s="1">
        <v>504</v>
      </c>
      <c r="X3" s="1">
        <v>0</v>
      </c>
      <c r="Y3" s="1">
        <v>0</v>
      </c>
      <c r="Z3" s="1">
        <v>117</v>
      </c>
      <c r="AA3" s="3">
        <f t="shared" si="5"/>
        <v>22.075471698113208</v>
      </c>
      <c r="AB3" s="1">
        <v>7</v>
      </c>
      <c r="AC3" s="3">
        <f t="shared" si="6"/>
        <v>1.320754716981132</v>
      </c>
      <c r="AD3" s="1">
        <v>51</v>
      </c>
      <c r="AE3" s="3">
        <f t="shared" si="7"/>
        <v>9.6226415094339615</v>
      </c>
      <c r="AF3" s="1">
        <v>28</v>
      </c>
      <c r="AG3" s="3">
        <f t="shared" si="8"/>
        <v>5.283018867924528</v>
      </c>
      <c r="AH3" s="1">
        <v>193</v>
      </c>
      <c r="AI3" s="3">
        <f t="shared" si="9"/>
        <v>36.415094339622641</v>
      </c>
      <c r="AJ3" s="1">
        <v>45</v>
      </c>
      <c r="AK3" s="3">
        <f t="shared" si="10"/>
        <v>8.4905660377358494</v>
      </c>
      <c r="AL3" s="1">
        <v>9</v>
      </c>
      <c r="AM3" s="3">
        <f t="shared" si="11"/>
        <v>1.6981132075471699</v>
      </c>
      <c r="AN3" s="1">
        <v>10</v>
      </c>
      <c r="AO3" s="3">
        <f t="shared" si="12"/>
        <v>1.8867924528301887</v>
      </c>
      <c r="AP3" s="1">
        <v>5</v>
      </c>
      <c r="AQ3" s="3">
        <f t="shared" si="13"/>
        <v>0.94339622641509435</v>
      </c>
      <c r="AR3" s="1">
        <v>8</v>
      </c>
      <c r="AS3" s="3">
        <f t="shared" si="14"/>
        <v>1.5094339622641511</v>
      </c>
      <c r="AT3" s="1">
        <v>1</v>
      </c>
      <c r="AU3" s="3">
        <f t="shared" si="15"/>
        <v>0.18867924528301888</v>
      </c>
      <c r="AV3" s="1">
        <v>10</v>
      </c>
      <c r="AW3" s="3">
        <f t="shared" si="16"/>
        <v>1.8867924528301887</v>
      </c>
      <c r="AX3" s="1">
        <v>6</v>
      </c>
      <c r="AY3" s="3">
        <f t="shared" si="17"/>
        <v>1.1320754716981132</v>
      </c>
      <c r="AZ3" s="1">
        <v>14</v>
      </c>
      <c r="BA3" s="3">
        <f t="shared" si="18"/>
        <v>2.641509433962264</v>
      </c>
      <c r="BB3" t="s">
        <v>209</v>
      </c>
      <c r="BD3"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32.787878787878753</v>
      </c>
      <c r="BE3" s="13">
        <f>2*(Дума_партии[[#This Row],[5. Всероссийская политическая партия "ЕДИНАЯ РОССИЯ"]]-(AB$124/100)*Дума_партии[[#This Row],[Число действительных избирательных бюллетеней]])</f>
        <v>43.279999999999973</v>
      </c>
      <c r="BF3" s="13">
        <f>(Дума_партии[[#This Row],[Вброс]]+Дума_партии[[#This Row],[Перекладывание]])/2</f>
        <v>38.033939393939363</v>
      </c>
      <c r="BG3" s="13">
        <v>0</v>
      </c>
    </row>
    <row r="4" spans="1:59" x14ac:dyDescent="0.4">
      <c r="A4" s="1" t="s">
        <v>49</v>
      </c>
      <c r="B4" s="1" t="s">
        <v>50</v>
      </c>
      <c r="C4" s="1" t="s">
        <v>51</v>
      </c>
      <c r="D4" s="1" t="s">
        <v>102</v>
      </c>
      <c r="E4" s="1" t="s">
        <v>105</v>
      </c>
      <c r="F4" s="1">
        <f t="shared" ca="1" si="19"/>
        <v>1744</v>
      </c>
      <c r="G4" t="s">
        <v>228</v>
      </c>
      <c r="H4" s="1">
        <v>1089</v>
      </c>
      <c r="I4" s="1">
        <f>Дума_партии[[#This Row],[Число избирателей, внесенных в список избирателей на момент окончания голосования]]</f>
        <v>1089</v>
      </c>
      <c r="J4" s="1">
        <v>1000</v>
      </c>
      <c r="K4" s="1">
        <v>0</v>
      </c>
      <c r="L4" s="1">
        <v>437</v>
      </c>
      <c r="M4" s="1">
        <v>6</v>
      </c>
      <c r="N4" s="3">
        <f t="shared" si="0"/>
        <v>40.679522497704319</v>
      </c>
      <c r="O4" s="3">
        <f t="shared" si="1"/>
        <v>0.55096418732782371</v>
      </c>
      <c r="P4" s="1">
        <v>557</v>
      </c>
      <c r="Q4" s="1">
        <v>6</v>
      </c>
      <c r="R4" s="1">
        <v>437</v>
      </c>
      <c r="S4" s="1">
        <f t="shared" si="2"/>
        <v>443</v>
      </c>
      <c r="T4" s="3">
        <f t="shared" si="3"/>
        <v>1.3544018058690745</v>
      </c>
      <c r="U4" s="1">
        <v>9</v>
      </c>
      <c r="V4" s="3">
        <f t="shared" si="4"/>
        <v>2.0316027088036117</v>
      </c>
      <c r="W4" s="1">
        <v>434</v>
      </c>
      <c r="X4" s="1">
        <v>0</v>
      </c>
      <c r="Y4" s="1">
        <v>0</v>
      </c>
      <c r="Z4" s="1">
        <v>51</v>
      </c>
      <c r="AA4" s="3">
        <f t="shared" si="5"/>
        <v>11.512415349887133</v>
      </c>
      <c r="AB4" s="1">
        <v>4</v>
      </c>
      <c r="AC4" s="3">
        <f t="shared" si="6"/>
        <v>0.90293453724604966</v>
      </c>
      <c r="AD4" s="1">
        <v>14</v>
      </c>
      <c r="AE4" s="3">
        <f t="shared" si="7"/>
        <v>3.1602708803611739</v>
      </c>
      <c r="AF4" s="1">
        <v>6</v>
      </c>
      <c r="AG4" s="3">
        <f t="shared" si="8"/>
        <v>1.3544018058690745</v>
      </c>
      <c r="AH4" s="1">
        <v>310</v>
      </c>
      <c r="AI4" s="3">
        <f t="shared" si="9"/>
        <v>69.97742663656885</v>
      </c>
      <c r="AJ4" s="1">
        <v>10</v>
      </c>
      <c r="AK4" s="3">
        <f t="shared" si="10"/>
        <v>2.2573363431151243</v>
      </c>
      <c r="AL4" s="1">
        <v>7</v>
      </c>
      <c r="AM4" s="3">
        <f t="shared" si="11"/>
        <v>1.5801354401805869</v>
      </c>
      <c r="AN4" s="1">
        <v>1</v>
      </c>
      <c r="AO4" s="3">
        <f t="shared" si="12"/>
        <v>0.22573363431151242</v>
      </c>
      <c r="AP4" s="1">
        <v>7</v>
      </c>
      <c r="AQ4" s="3">
        <f t="shared" si="13"/>
        <v>1.5801354401805869</v>
      </c>
      <c r="AR4" s="1">
        <v>6</v>
      </c>
      <c r="AS4" s="3">
        <f t="shared" si="14"/>
        <v>1.3544018058690745</v>
      </c>
      <c r="AT4" s="1">
        <v>0</v>
      </c>
      <c r="AU4" s="3">
        <f t="shared" si="15"/>
        <v>0</v>
      </c>
      <c r="AV4" s="1">
        <v>1</v>
      </c>
      <c r="AW4" s="3">
        <f t="shared" si="16"/>
        <v>0.22573363431151242</v>
      </c>
      <c r="AX4" s="1">
        <v>4</v>
      </c>
      <c r="AY4" s="3">
        <f t="shared" si="17"/>
        <v>0.90293453724604966</v>
      </c>
      <c r="AZ4" s="1">
        <v>13</v>
      </c>
      <c r="BA4" s="3">
        <f t="shared" si="18"/>
        <v>2.9345372460496613</v>
      </c>
      <c r="BB4" t="s">
        <v>209</v>
      </c>
      <c r="BD4"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246.12121212121212</v>
      </c>
      <c r="BE4" s="13">
        <f>2*(Дума_партии[[#This Row],[5. Всероссийская политическая партия "ЕДИНАЯ РОССИЯ"]]-(AB$124/100)*Дума_партии[[#This Row],[Число действительных избирательных бюллетеней]])</f>
        <v>324.88</v>
      </c>
      <c r="BF4" s="13">
        <f>(Дума_партии[[#This Row],[Вброс]]+Дума_партии[[#This Row],[Перекладывание]])/2</f>
        <v>285.50060606060606</v>
      </c>
      <c r="BG4" s="13">
        <v>0</v>
      </c>
    </row>
    <row r="5" spans="1:59" x14ac:dyDescent="0.4">
      <c r="A5" s="1" t="s">
        <v>49</v>
      </c>
      <c r="B5" s="1" t="s">
        <v>50</v>
      </c>
      <c r="C5" s="1" t="s">
        <v>51</v>
      </c>
      <c r="D5" s="1" t="s">
        <v>102</v>
      </c>
      <c r="E5" s="1" t="s">
        <v>106</v>
      </c>
      <c r="F5" s="1">
        <f t="shared" ca="1" si="19"/>
        <v>1745</v>
      </c>
      <c r="G5" t="s">
        <v>228</v>
      </c>
      <c r="H5" s="1">
        <v>1509</v>
      </c>
      <c r="I5" s="1">
        <f>Дума_партии[[#This Row],[Число избирателей, внесенных в список избирателей на момент окончания голосования]]</f>
        <v>1509</v>
      </c>
      <c r="J5" s="1">
        <v>1500</v>
      </c>
      <c r="K5" s="1">
        <v>0</v>
      </c>
      <c r="L5" s="1">
        <v>605</v>
      </c>
      <c r="M5" s="1">
        <v>10</v>
      </c>
      <c r="N5" s="3">
        <f t="shared" si="0"/>
        <v>40.755467196819083</v>
      </c>
      <c r="O5" s="3">
        <f t="shared" si="1"/>
        <v>0.66269052352551361</v>
      </c>
      <c r="P5" s="1">
        <v>885</v>
      </c>
      <c r="Q5" s="1">
        <v>10</v>
      </c>
      <c r="R5" s="1">
        <v>605</v>
      </c>
      <c r="S5" s="1">
        <f t="shared" si="2"/>
        <v>615</v>
      </c>
      <c r="T5" s="3">
        <f t="shared" si="3"/>
        <v>1.6260162601626016</v>
      </c>
      <c r="U5" s="1">
        <v>46</v>
      </c>
      <c r="V5" s="3">
        <f t="shared" si="4"/>
        <v>7.4796747967479673</v>
      </c>
      <c r="W5" s="1">
        <v>569</v>
      </c>
      <c r="X5" s="1">
        <v>0</v>
      </c>
      <c r="Y5" s="1">
        <v>0</v>
      </c>
      <c r="Z5" s="1">
        <v>123</v>
      </c>
      <c r="AA5" s="3">
        <f t="shared" si="5"/>
        <v>20</v>
      </c>
      <c r="AB5" s="1">
        <v>5</v>
      </c>
      <c r="AC5" s="3">
        <f t="shared" si="6"/>
        <v>0.81300813008130079</v>
      </c>
      <c r="AD5" s="1">
        <v>47</v>
      </c>
      <c r="AE5" s="3">
        <f t="shared" si="7"/>
        <v>7.6422764227642279</v>
      </c>
      <c r="AF5" s="1">
        <v>37</v>
      </c>
      <c r="AG5" s="3">
        <f t="shared" si="8"/>
        <v>6.0162601626016263</v>
      </c>
      <c r="AH5" s="1">
        <v>236</v>
      </c>
      <c r="AI5" s="3">
        <f t="shared" si="9"/>
        <v>38.373983739837399</v>
      </c>
      <c r="AJ5" s="1">
        <v>53</v>
      </c>
      <c r="AK5" s="3">
        <f t="shared" si="10"/>
        <v>8.617886178861788</v>
      </c>
      <c r="AL5" s="1">
        <v>17</v>
      </c>
      <c r="AM5" s="3">
        <f t="shared" si="11"/>
        <v>2.7642276422764227</v>
      </c>
      <c r="AN5" s="1">
        <v>8</v>
      </c>
      <c r="AO5" s="3">
        <f t="shared" si="12"/>
        <v>1.3008130081300813</v>
      </c>
      <c r="AP5" s="1">
        <v>5</v>
      </c>
      <c r="AQ5" s="3">
        <f t="shared" si="13"/>
        <v>0.81300813008130079</v>
      </c>
      <c r="AR5" s="1">
        <v>11</v>
      </c>
      <c r="AS5" s="3">
        <f t="shared" si="14"/>
        <v>1.7886178861788617</v>
      </c>
      <c r="AT5" s="1">
        <v>0</v>
      </c>
      <c r="AU5" s="3">
        <f t="shared" si="15"/>
        <v>0</v>
      </c>
      <c r="AV5" s="1">
        <v>4</v>
      </c>
      <c r="AW5" s="3">
        <f t="shared" si="16"/>
        <v>0.65040650406504064</v>
      </c>
      <c r="AX5" s="1">
        <v>8</v>
      </c>
      <c r="AY5" s="3">
        <f t="shared" si="17"/>
        <v>1.3008130081300813</v>
      </c>
      <c r="AZ5" s="1">
        <v>15</v>
      </c>
      <c r="BA5" s="3">
        <f t="shared" si="18"/>
        <v>2.4390243902439024</v>
      </c>
      <c r="BB5" t="s">
        <v>209</v>
      </c>
      <c r="BD5"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64.454545454545411</v>
      </c>
      <c r="BE5" s="13">
        <f>2*(Дума_партии[[#This Row],[5. Всероссийская политическая партия "ЕДИНАЯ РОССИЯ"]]-(AB$124/100)*Дума_партии[[#This Row],[Число действительных избирательных бюллетеней]])</f>
        <v>85.079999999999984</v>
      </c>
      <c r="BF5" s="13">
        <f>(Дума_партии[[#This Row],[Вброс]]+Дума_партии[[#This Row],[Перекладывание]])/2</f>
        <v>74.767272727272697</v>
      </c>
      <c r="BG5" s="13">
        <v>0</v>
      </c>
    </row>
    <row r="6" spans="1:59" x14ac:dyDescent="0.4">
      <c r="A6" s="1" t="s">
        <v>49</v>
      </c>
      <c r="B6" s="1" t="s">
        <v>50</v>
      </c>
      <c r="C6" s="1" t="s">
        <v>51</v>
      </c>
      <c r="D6" s="1" t="s">
        <v>102</v>
      </c>
      <c r="E6" s="1" t="s">
        <v>107</v>
      </c>
      <c r="F6" s="1">
        <f t="shared" ca="1" si="19"/>
        <v>1746</v>
      </c>
      <c r="G6" t="s">
        <v>228</v>
      </c>
      <c r="H6" s="1">
        <v>1477</v>
      </c>
      <c r="I6" s="1">
        <f>Дума_партии[[#This Row],[Число избирателей, внесенных в список избирателей на момент окончания голосования]]</f>
        <v>1477</v>
      </c>
      <c r="J6" s="1">
        <v>1400</v>
      </c>
      <c r="K6" s="1">
        <v>0</v>
      </c>
      <c r="L6" s="1">
        <v>490</v>
      </c>
      <c r="M6" s="1">
        <v>4</v>
      </c>
      <c r="N6" s="3">
        <f t="shared" si="0"/>
        <v>33.446174678402166</v>
      </c>
      <c r="O6" s="3">
        <f t="shared" si="1"/>
        <v>0.27081922816519971</v>
      </c>
      <c r="P6" s="1">
        <v>906</v>
      </c>
      <c r="Q6" s="1">
        <v>4</v>
      </c>
      <c r="R6" s="1">
        <v>490</v>
      </c>
      <c r="S6" s="1">
        <f t="shared" si="2"/>
        <v>494</v>
      </c>
      <c r="T6" s="3">
        <f t="shared" si="3"/>
        <v>0.80971659919028338</v>
      </c>
      <c r="U6" s="1">
        <v>20</v>
      </c>
      <c r="V6" s="3">
        <f t="shared" si="4"/>
        <v>4.048582995951417</v>
      </c>
      <c r="W6" s="1">
        <v>474</v>
      </c>
      <c r="X6" s="1">
        <v>0</v>
      </c>
      <c r="Y6" s="1">
        <v>0</v>
      </c>
      <c r="Z6" s="1">
        <v>46</v>
      </c>
      <c r="AA6" s="3">
        <f t="shared" si="5"/>
        <v>9.3117408906882595</v>
      </c>
      <c r="AB6" s="1">
        <v>9</v>
      </c>
      <c r="AC6" s="3">
        <f t="shared" si="6"/>
        <v>1.8218623481781377</v>
      </c>
      <c r="AD6" s="1">
        <v>39</v>
      </c>
      <c r="AE6" s="3">
        <f t="shared" si="7"/>
        <v>7.8947368421052628</v>
      </c>
      <c r="AF6" s="1">
        <v>10</v>
      </c>
      <c r="AG6" s="3">
        <f t="shared" si="8"/>
        <v>2.0242914979757085</v>
      </c>
      <c r="AH6" s="1">
        <v>300</v>
      </c>
      <c r="AI6" s="3">
        <f t="shared" si="9"/>
        <v>60.728744939271252</v>
      </c>
      <c r="AJ6" s="1">
        <v>12</v>
      </c>
      <c r="AK6" s="3">
        <f t="shared" si="10"/>
        <v>2.42914979757085</v>
      </c>
      <c r="AL6" s="1">
        <v>11</v>
      </c>
      <c r="AM6" s="3">
        <f t="shared" si="11"/>
        <v>2.2267206477732793</v>
      </c>
      <c r="AN6" s="1">
        <v>4</v>
      </c>
      <c r="AO6" s="3">
        <f t="shared" si="12"/>
        <v>0.80971659919028338</v>
      </c>
      <c r="AP6" s="1">
        <v>5</v>
      </c>
      <c r="AQ6" s="3">
        <f t="shared" si="13"/>
        <v>1.0121457489878543</v>
      </c>
      <c r="AR6" s="1">
        <v>6</v>
      </c>
      <c r="AS6" s="3">
        <f t="shared" si="14"/>
        <v>1.214574898785425</v>
      </c>
      <c r="AT6" s="1">
        <v>3</v>
      </c>
      <c r="AU6" s="3">
        <f t="shared" si="15"/>
        <v>0.60728744939271251</v>
      </c>
      <c r="AV6" s="1">
        <v>9</v>
      </c>
      <c r="AW6" s="3">
        <f t="shared" si="16"/>
        <v>1.8218623481781377</v>
      </c>
      <c r="AX6" s="1">
        <v>9</v>
      </c>
      <c r="AY6" s="3">
        <f t="shared" si="17"/>
        <v>1.8218623481781377</v>
      </c>
      <c r="AZ6" s="1">
        <v>11</v>
      </c>
      <c r="BA6" s="3">
        <f t="shared" si="18"/>
        <v>2.2267206477732793</v>
      </c>
      <c r="BB6" t="s">
        <v>209</v>
      </c>
      <c r="BD6"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210.36363636363635</v>
      </c>
      <c r="BE6" s="13">
        <f>2*(Дума_партии[[#This Row],[5. Всероссийская политическая партия "ЕДИНАЯ РОССИЯ"]]-(AB$124/100)*Дума_партии[[#This Row],[Число действительных избирательных бюллетеней]])</f>
        <v>277.67999999999995</v>
      </c>
      <c r="BF6" s="13">
        <f>(Дума_партии[[#This Row],[Вброс]]+Дума_партии[[#This Row],[Перекладывание]])/2</f>
        <v>244.02181818181816</v>
      </c>
      <c r="BG6" s="13">
        <v>0</v>
      </c>
    </row>
    <row r="7" spans="1:59" x14ac:dyDescent="0.4">
      <c r="A7" s="1" t="s">
        <v>49</v>
      </c>
      <c r="B7" s="1" t="s">
        <v>50</v>
      </c>
      <c r="C7" s="1" t="s">
        <v>51</v>
      </c>
      <c r="D7" s="1" t="s">
        <v>102</v>
      </c>
      <c r="E7" s="1" t="s">
        <v>108</v>
      </c>
      <c r="F7" s="1">
        <f t="shared" ca="1" si="19"/>
        <v>1747</v>
      </c>
      <c r="G7" t="s">
        <v>228</v>
      </c>
      <c r="H7" s="1">
        <v>1309</v>
      </c>
      <c r="I7" s="1">
        <f>Дума_партии[[#This Row],[Число избирателей, внесенных в список избирателей на момент окончания голосования]]</f>
        <v>1309</v>
      </c>
      <c r="J7" s="1">
        <v>1200</v>
      </c>
      <c r="K7" s="1">
        <v>0</v>
      </c>
      <c r="L7" s="1">
        <v>570</v>
      </c>
      <c r="M7" s="1">
        <v>6</v>
      </c>
      <c r="N7" s="3">
        <f t="shared" si="0"/>
        <v>44.003055767761651</v>
      </c>
      <c r="O7" s="3">
        <f t="shared" si="1"/>
        <v>0.45836516424751717</v>
      </c>
      <c r="P7" s="1">
        <v>624</v>
      </c>
      <c r="Q7" s="1">
        <v>6</v>
      </c>
      <c r="R7" s="1">
        <v>570</v>
      </c>
      <c r="S7" s="1">
        <f t="shared" si="2"/>
        <v>576</v>
      </c>
      <c r="T7" s="3">
        <f t="shared" si="3"/>
        <v>1.0416666666666667</v>
      </c>
      <c r="U7" s="1">
        <v>25</v>
      </c>
      <c r="V7" s="3">
        <f t="shared" si="4"/>
        <v>4.3402777777777777</v>
      </c>
      <c r="W7" s="1">
        <v>551</v>
      </c>
      <c r="X7" s="1">
        <v>0</v>
      </c>
      <c r="Y7" s="1">
        <v>0</v>
      </c>
      <c r="Z7" s="1">
        <v>130</v>
      </c>
      <c r="AA7" s="3">
        <f t="shared" si="5"/>
        <v>22.569444444444443</v>
      </c>
      <c r="AB7" s="1">
        <v>4</v>
      </c>
      <c r="AC7" s="3">
        <f t="shared" si="6"/>
        <v>0.69444444444444442</v>
      </c>
      <c r="AD7" s="1">
        <v>58</v>
      </c>
      <c r="AE7" s="3">
        <f t="shared" si="7"/>
        <v>10.069444444444445</v>
      </c>
      <c r="AF7" s="1">
        <v>34</v>
      </c>
      <c r="AG7" s="3">
        <f t="shared" si="8"/>
        <v>5.9027777777777777</v>
      </c>
      <c r="AH7" s="1">
        <v>213</v>
      </c>
      <c r="AI7" s="3">
        <f t="shared" si="9"/>
        <v>36.979166666666664</v>
      </c>
      <c r="AJ7" s="1">
        <v>42</v>
      </c>
      <c r="AK7" s="3">
        <f t="shared" si="10"/>
        <v>7.291666666666667</v>
      </c>
      <c r="AL7" s="1">
        <v>8</v>
      </c>
      <c r="AM7" s="3">
        <f t="shared" si="11"/>
        <v>1.3888888888888888</v>
      </c>
      <c r="AN7" s="1">
        <v>2</v>
      </c>
      <c r="AO7" s="3">
        <f t="shared" si="12"/>
        <v>0.34722222222222221</v>
      </c>
      <c r="AP7" s="1">
        <v>4</v>
      </c>
      <c r="AQ7" s="3">
        <f t="shared" si="13"/>
        <v>0.69444444444444442</v>
      </c>
      <c r="AR7" s="1">
        <v>14</v>
      </c>
      <c r="AS7" s="3">
        <f t="shared" si="14"/>
        <v>2.4305555555555554</v>
      </c>
      <c r="AT7" s="1">
        <v>0</v>
      </c>
      <c r="AU7" s="3">
        <f t="shared" si="15"/>
        <v>0</v>
      </c>
      <c r="AV7" s="1">
        <v>9</v>
      </c>
      <c r="AW7" s="3">
        <f t="shared" si="16"/>
        <v>1.5625</v>
      </c>
      <c r="AX7" s="1">
        <v>5</v>
      </c>
      <c r="AY7" s="3">
        <f t="shared" si="17"/>
        <v>0.86805555555555558</v>
      </c>
      <c r="AZ7" s="1">
        <v>28</v>
      </c>
      <c r="BA7" s="3">
        <f t="shared" si="18"/>
        <v>4.8611111111111107</v>
      </c>
      <c r="BB7" t="s">
        <v>209</v>
      </c>
      <c r="BD7"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38.878787878787847</v>
      </c>
      <c r="BE7" s="13">
        <f>2*(Дума_партии[[#This Row],[5. Всероссийская политическая партия "ЕДИНАЯ РОССИЯ"]]-(AB$124/100)*Дума_партии[[#This Row],[Число действительных избирательных бюллетеней]])</f>
        <v>51.319999999999993</v>
      </c>
      <c r="BF7" s="13">
        <f>(Дума_партии[[#This Row],[Вброс]]+Дума_партии[[#This Row],[Перекладывание]])/2</f>
        <v>45.09939393939392</v>
      </c>
      <c r="BG7" s="13">
        <v>0</v>
      </c>
    </row>
    <row r="8" spans="1:59" x14ac:dyDescent="0.4">
      <c r="A8" s="1" t="s">
        <v>49</v>
      </c>
      <c r="B8" s="1" t="s">
        <v>50</v>
      </c>
      <c r="C8" s="1" t="s">
        <v>51</v>
      </c>
      <c r="D8" s="1" t="s">
        <v>102</v>
      </c>
      <c r="E8" s="1" t="s">
        <v>109</v>
      </c>
      <c r="F8" s="1">
        <f t="shared" ca="1" si="19"/>
        <v>1748</v>
      </c>
      <c r="G8" t="s">
        <v>228</v>
      </c>
      <c r="H8" s="1">
        <v>1113</v>
      </c>
      <c r="I8" s="1">
        <f>Дума_партии[[#This Row],[Число избирателей, внесенных в список избирателей на момент окончания голосования]]</f>
        <v>1113</v>
      </c>
      <c r="J8" s="1">
        <v>1100</v>
      </c>
      <c r="K8" s="1">
        <v>0</v>
      </c>
      <c r="L8" s="1">
        <v>483</v>
      </c>
      <c r="M8" s="1">
        <v>14</v>
      </c>
      <c r="N8" s="3">
        <f t="shared" si="0"/>
        <v>44.654088050314463</v>
      </c>
      <c r="O8" s="3">
        <f t="shared" si="1"/>
        <v>1.2578616352201257</v>
      </c>
      <c r="P8" s="1">
        <v>603</v>
      </c>
      <c r="Q8" s="1">
        <v>14</v>
      </c>
      <c r="R8" s="1">
        <v>483</v>
      </c>
      <c r="S8" s="1">
        <f t="shared" si="2"/>
        <v>497</v>
      </c>
      <c r="T8" s="3">
        <f t="shared" si="3"/>
        <v>2.816901408450704</v>
      </c>
      <c r="U8" s="1">
        <v>10</v>
      </c>
      <c r="V8" s="3">
        <f t="shared" si="4"/>
        <v>2.0120724346076457</v>
      </c>
      <c r="W8" s="1">
        <v>487</v>
      </c>
      <c r="X8" s="1">
        <v>0</v>
      </c>
      <c r="Y8" s="1">
        <v>0</v>
      </c>
      <c r="Z8" s="1">
        <v>126</v>
      </c>
      <c r="AA8" s="3">
        <f t="shared" si="5"/>
        <v>25.35211267605634</v>
      </c>
      <c r="AB8" s="1">
        <v>8</v>
      </c>
      <c r="AC8" s="3">
        <f t="shared" si="6"/>
        <v>1.6096579476861168</v>
      </c>
      <c r="AD8" s="1">
        <v>38</v>
      </c>
      <c r="AE8" s="3">
        <f t="shared" si="7"/>
        <v>7.6458752515090547</v>
      </c>
      <c r="AF8" s="1">
        <v>44</v>
      </c>
      <c r="AG8" s="3">
        <f t="shared" si="8"/>
        <v>8.8531187122736412</v>
      </c>
      <c r="AH8" s="1">
        <v>178</v>
      </c>
      <c r="AI8" s="3">
        <f t="shared" si="9"/>
        <v>35.814889336016094</v>
      </c>
      <c r="AJ8" s="1">
        <v>33</v>
      </c>
      <c r="AK8" s="3">
        <f t="shared" si="10"/>
        <v>6.6398390342052318</v>
      </c>
      <c r="AL8" s="1">
        <v>7</v>
      </c>
      <c r="AM8" s="3">
        <f t="shared" si="11"/>
        <v>1.408450704225352</v>
      </c>
      <c r="AN8" s="1">
        <v>0</v>
      </c>
      <c r="AO8" s="3">
        <f t="shared" si="12"/>
        <v>0</v>
      </c>
      <c r="AP8" s="1">
        <v>10</v>
      </c>
      <c r="AQ8" s="3">
        <f t="shared" si="13"/>
        <v>2.0120724346076457</v>
      </c>
      <c r="AR8" s="1">
        <v>9</v>
      </c>
      <c r="AS8" s="3">
        <f t="shared" si="14"/>
        <v>1.8108651911468814</v>
      </c>
      <c r="AT8" s="1">
        <v>1</v>
      </c>
      <c r="AU8" s="3">
        <f t="shared" si="15"/>
        <v>0.2012072434607646</v>
      </c>
      <c r="AV8" s="1">
        <v>3</v>
      </c>
      <c r="AW8" s="3">
        <f t="shared" si="16"/>
        <v>0.60362173038229372</v>
      </c>
      <c r="AX8" s="1">
        <v>8</v>
      </c>
      <c r="AY8" s="3">
        <f t="shared" si="17"/>
        <v>1.6096579476861168</v>
      </c>
      <c r="AZ8" s="1">
        <v>22</v>
      </c>
      <c r="BA8" s="3">
        <f t="shared" si="18"/>
        <v>4.4265593561368206</v>
      </c>
      <c r="BB8" t="s">
        <v>209</v>
      </c>
      <c r="BD8"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18.818181818181785</v>
      </c>
      <c r="BE8" s="13">
        <f>2*(Дума_партии[[#This Row],[5. Всероссийская политическая партия "ЕДИНАЯ РОССИЯ"]]-(AB$124/100)*Дума_партии[[#This Row],[Число действительных избирательных бюллетеней]])</f>
        <v>24.839999999999975</v>
      </c>
      <c r="BF8" s="13">
        <f>(Дума_партии[[#This Row],[Вброс]]+Дума_партии[[#This Row],[Перекладывание]])/2</f>
        <v>21.82909090909088</v>
      </c>
      <c r="BG8" s="13">
        <v>0</v>
      </c>
    </row>
    <row r="9" spans="1:59" x14ac:dyDescent="0.4">
      <c r="A9" s="1" t="s">
        <v>49</v>
      </c>
      <c r="B9" s="1" t="s">
        <v>50</v>
      </c>
      <c r="C9" s="1" t="s">
        <v>51</v>
      </c>
      <c r="D9" s="1" t="s">
        <v>102</v>
      </c>
      <c r="E9" s="1" t="s">
        <v>110</v>
      </c>
      <c r="F9" s="1">
        <f t="shared" ca="1" si="19"/>
        <v>1749</v>
      </c>
      <c r="G9" t="s">
        <v>228</v>
      </c>
      <c r="H9" s="1">
        <v>1723</v>
      </c>
      <c r="I9" s="1">
        <f>Дума_партии[[#This Row],[Число избирателей, внесенных в список избирателей на момент окончания голосования]]</f>
        <v>1723</v>
      </c>
      <c r="J9" s="1">
        <v>1500</v>
      </c>
      <c r="K9" s="1">
        <v>0</v>
      </c>
      <c r="L9" s="1">
        <v>661</v>
      </c>
      <c r="M9" s="1">
        <v>29</v>
      </c>
      <c r="N9" s="3">
        <f t="shared" si="0"/>
        <v>40.04643064422519</v>
      </c>
      <c r="O9" s="3">
        <f t="shared" si="1"/>
        <v>1.6831108531630876</v>
      </c>
      <c r="P9" s="1">
        <v>810</v>
      </c>
      <c r="Q9" s="1">
        <v>29</v>
      </c>
      <c r="R9" s="1">
        <v>661</v>
      </c>
      <c r="S9" s="1">
        <f t="shared" si="2"/>
        <v>690</v>
      </c>
      <c r="T9" s="3">
        <f t="shared" si="3"/>
        <v>4.2028985507246377</v>
      </c>
      <c r="U9" s="1">
        <v>30</v>
      </c>
      <c r="V9" s="3">
        <f t="shared" si="4"/>
        <v>4.3478260869565215</v>
      </c>
      <c r="W9" s="1">
        <v>660</v>
      </c>
      <c r="X9" s="1">
        <v>0</v>
      </c>
      <c r="Y9" s="1">
        <v>0</v>
      </c>
      <c r="Z9" s="1">
        <v>171</v>
      </c>
      <c r="AA9" s="3">
        <f t="shared" si="5"/>
        <v>24.782608695652176</v>
      </c>
      <c r="AB9" s="1">
        <v>3</v>
      </c>
      <c r="AC9" s="3">
        <f t="shared" si="6"/>
        <v>0.43478260869565216</v>
      </c>
      <c r="AD9" s="1">
        <v>65</v>
      </c>
      <c r="AE9" s="3">
        <f t="shared" si="7"/>
        <v>9.420289855072463</v>
      </c>
      <c r="AF9" s="1">
        <v>56</v>
      </c>
      <c r="AG9" s="3">
        <f t="shared" si="8"/>
        <v>8.1159420289855078</v>
      </c>
      <c r="AH9" s="1">
        <v>238</v>
      </c>
      <c r="AI9" s="3">
        <f t="shared" si="9"/>
        <v>34.492753623188406</v>
      </c>
      <c r="AJ9" s="1">
        <v>40</v>
      </c>
      <c r="AK9" s="3">
        <f t="shared" si="10"/>
        <v>5.7971014492753623</v>
      </c>
      <c r="AL9" s="1">
        <v>12</v>
      </c>
      <c r="AM9" s="3">
        <f t="shared" si="11"/>
        <v>1.7391304347826086</v>
      </c>
      <c r="AN9" s="1">
        <v>3</v>
      </c>
      <c r="AO9" s="3">
        <f t="shared" si="12"/>
        <v>0.43478260869565216</v>
      </c>
      <c r="AP9" s="1">
        <v>8</v>
      </c>
      <c r="AQ9" s="3">
        <f t="shared" si="13"/>
        <v>1.1594202898550725</v>
      </c>
      <c r="AR9" s="1">
        <v>17</v>
      </c>
      <c r="AS9" s="3">
        <f t="shared" si="14"/>
        <v>2.4637681159420288</v>
      </c>
      <c r="AT9" s="1">
        <v>1</v>
      </c>
      <c r="AU9" s="3">
        <f t="shared" si="15"/>
        <v>0.14492753623188406</v>
      </c>
      <c r="AV9" s="1">
        <v>10</v>
      </c>
      <c r="AW9" s="3">
        <f t="shared" si="16"/>
        <v>1.4492753623188406</v>
      </c>
      <c r="AX9" s="1">
        <v>8</v>
      </c>
      <c r="AY9" s="3">
        <f t="shared" si="17"/>
        <v>1.1594202898550725</v>
      </c>
      <c r="AZ9" s="1">
        <v>28</v>
      </c>
      <c r="BA9" s="3">
        <f t="shared" si="18"/>
        <v>4.0579710144927539</v>
      </c>
      <c r="BB9" t="s">
        <v>209</v>
      </c>
      <c r="BD9"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20.606060606060566</v>
      </c>
      <c r="BE9" s="13">
        <f>2*(Дума_партии[[#This Row],[5. Всероссийская политическая партия "ЕДИНАЯ РОССИЯ"]]-(AB$124/100)*Дума_партии[[#This Row],[Число действительных избирательных бюллетеней]])</f>
        <v>27.199999999999989</v>
      </c>
      <c r="BF9" s="13">
        <f>(Дума_партии[[#This Row],[Вброс]]+Дума_партии[[#This Row],[Перекладывание]])/2</f>
        <v>23.903030303030278</v>
      </c>
      <c r="BG9" s="13">
        <v>0</v>
      </c>
    </row>
    <row r="10" spans="1:59" x14ac:dyDescent="0.4">
      <c r="A10" s="1" t="s">
        <v>49</v>
      </c>
      <c r="B10" s="1" t="s">
        <v>50</v>
      </c>
      <c r="C10" s="1" t="s">
        <v>51</v>
      </c>
      <c r="D10" s="1" t="s">
        <v>102</v>
      </c>
      <c r="E10" s="1" t="s">
        <v>111</v>
      </c>
      <c r="F10" s="1">
        <f t="shared" ca="1" si="19"/>
        <v>1750</v>
      </c>
      <c r="G10" t="s">
        <v>228</v>
      </c>
      <c r="H10" s="1">
        <v>1405</v>
      </c>
      <c r="I10" s="1">
        <f>Дума_партии[[#This Row],[Число избирателей, внесенных в список избирателей на момент окончания голосования]]</f>
        <v>1405</v>
      </c>
      <c r="J10" s="1">
        <v>1400</v>
      </c>
      <c r="K10" s="1">
        <v>0</v>
      </c>
      <c r="L10" s="1">
        <v>549</v>
      </c>
      <c r="M10" s="1">
        <v>24</v>
      </c>
      <c r="N10" s="3">
        <f t="shared" si="0"/>
        <v>40.782918149466191</v>
      </c>
      <c r="O10" s="3">
        <f t="shared" si="1"/>
        <v>1.708185053380783</v>
      </c>
      <c r="P10" s="1">
        <v>827</v>
      </c>
      <c r="Q10" s="1">
        <v>24</v>
      </c>
      <c r="R10" s="1">
        <v>549</v>
      </c>
      <c r="S10" s="1">
        <f t="shared" si="2"/>
        <v>573</v>
      </c>
      <c r="T10" s="3">
        <f t="shared" si="3"/>
        <v>4.1884816753926701</v>
      </c>
      <c r="U10" s="1">
        <v>71</v>
      </c>
      <c r="V10" s="3">
        <f t="shared" si="4"/>
        <v>12.390924956369982</v>
      </c>
      <c r="W10" s="1">
        <v>502</v>
      </c>
      <c r="X10" s="1">
        <v>0</v>
      </c>
      <c r="Y10" s="1">
        <v>0</v>
      </c>
      <c r="Z10" s="1">
        <v>128</v>
      </c>
      <c r="AA10" s="3">
        <f t="shared" si="5"/>
        <v>22.338568935427574</v>
      </c>
      <c r="AB10" s="1">
        <v>10</v>
      </c>
      <c r="AC10" s="3">
        <f t="shared" si="6"/>
        <v>1.7452006980802792</v>
      </c>
      <c r="AD10" s="1">
        <v>64</v>
      </c>
      <c r="AE10" s="3">
        <f t="shared" si="7"/>
        <v>11.169284467713787</v>
      </c>
      <c r="AF10" s="1">
        <v>22</v>
      </c>
      <c r="AG10" s="3">
        <f t="shared" si="8"/>
        <v>3.8394415357766145</v>
      </c>
      <c r="AH10" s="1">
        <v>186</v>
      </c>
      <c r="AI10" s="3">
        <f t="shared" si="9"/>
        <v>32.460732984293195</v>
      </c>
      <c r="AJ10" s="1">
        <v>41</v>
      </c>
      <c r="AK10" s="3">
        <f t="shared" si="10"/>
        <v>7.1553228621291449</v>
      </c>
      <c r="AL10" s="1">
        <v>9</v>
      </c>
      <c r="AM10" s="3">
        <f t="shared" si="11"/>
        <v>1.5706806282722514</v>
      </c>
      <c r="AN10" s="1">
        <v>0</v>
      </c>
      <c r="AO10" s="3">
        <f t="shared" si="12"/>
        <v>0</v>
      </c>
      <c r="AP10" s="1">
        <v>3</v>
      </c>
      <c r="AQ10" s="3">
        <f t="shared" si="13"/>
        <v>0.52356020942408377</v>
      </c>
      <c r="AR10" s="1">
        <v>9</v>
      </c>
      <c r="AS10" s="3">
        <f t="shared" si="14"/>
        <v>1.5706806282722514</v>
      </c>
      <c r="AT10" s="1">
        <v>0</v>
      </c>
      <c r="AU10" s="3">
        <f t="shared" si="15"/>
        <v>0</v>
      </c>
      <c r="AV10" s="1">
        <v>5</v>
      </c>
      <c r="AW10" s="3">
        <f t="shared" si="16"/>
        <v>0.87260034904013961</v>
      </c>
      <c r="AX10" s="1">
        <v>9</v>
      </c>
      <c r="AY10" s="3">
        <f t="shared" si="17"/>
        <v>1.5706806282722514</v>
      </c>
      <c r="AZ10" s="1">
        <v>16</v>
      </c>
      <c r="BA10" s="3">
        <f t="shared" si="18"/>
        <v>2.7923211169284468</v>
      </c>
      <c r="BB10" t="s">
        <v>209</v>
      </c>
      <c r="BD10"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23.21212121212119</v>
      </c>
      <c r="BE10" s="13">
        <f>2*(Дума_партии[[#This Row],[5. Всероссийская политическая партия "ЕДИНАЯ РОССИЯ"]]-(AB$124/100)*Дума_партии[[#This Row],[Число действительных избирательных бюллетеней]])</f>
        <v>30.639999999999986</v>
      </c>
      <c r="BF10" s="13">
        <f>(Дума_партии[[#This Row],[Вброс]]+Дума_партии[[#This Row],[Перекладывание]])/2</f>
        <v>26.926060606060588</v>
      </c>
      <c r="BG10" s="13">
        <v>0</v>
      </c>
    </row>
    <row r="11" spans="1:59" x14ac:dyDescent="0.4">
      <c r="A11" s="1" t="s">
        <v>49</v>
      </c>
      <c r="B11" s="1" t="s">
        <v>50</v>
      </c>
      <c r="C11" s="1" t="s">
        <v>51</v>
      </c>
      <c r="D11" s="1" t="s">
        <v>102</v>
      </c>
      <c r="E11" s="1" t="s">
        <v>112</v>
      </c>
      <c r="F11" s="1">
        <f t="shared" ca="1" si="19"/>
        <v>1751</v>
      </c>
      <c r="G11" t="s">
        <v>228</v>
      </c>
      <c r="H11" s="1">
        <v>1328</v>
      </c>
      <c r="I11" s="1">
        <f>Дума_партии[[#This Row],[Число избирателей, внесенных в список избирателей на момент окончания голосования]]</f>
        <v>1328</v>
      </c>
      <c r="J11" s="1">
        <v>1300</v>
      </c>
      <c r="K11" s="1">
        <v>0</v>
      </c>
      <c r="L11" s="1">
        <v>462</v>
      </c>
      <c r="M11" s="1">
        <v>17</v>
      </c>
      <c r="N11" s="3">
        <f t="shared" si="0"/>
        <v>36.069277108433738</v>
      </c>
      <c r="O11" s="3">
        <f t="shared" si="1"/>
        <v>1.2801204819277108</v>
      </c>
      <c r="P11" s="1">
        <v>821</v>
      </c>
      <c r="Q11" s="1">
        <v>17</v>
      </c>
      <c r="R11" s="1">
        <v>462</v>
      </c>
      <c r="S11" s="1">
        <f t="shared" si="2"/>
        <v>479</v>
      </c>
      <c r="T11" s="3">
        <f t="shared" si="3"/>
        <v>3.5490605427974948</v>
      </c>
      <c r="U11" s="1">
        <v>110</v>
      </c>
      <c r="V11" s="3">
        <f t="shared" si="4"/>
        <v>22.964509394572026</v>
      </c>
      <c r="W11" s="1">
        <v>369</v>
      </c>
      <c r="X11" s="1">
        <v>0</v>
      </c>
      <c r="Y11" s="1">
        <v>0</v>
      </c>
      <c r="Z11" s="1">
        <v>96</v>
      </c>
      <c r="AA11" s="3">
        <f t="shared" si="5"/>
        <v>20.041753653444676</v>
      </c>
      <c r="AB11" s="1">
        <v>3</v>
      </c>
      <c r="AC11" s="3">
        <f t="shared" si="6"/>
        <v>0.62630480167014613</v>
      </c>
      <c r="AD11" s="1">
        <v>31</v>
      </c>
      <c r="AE11" s="3">
        <f t="shared" si="7"/>
        <v>6.4718162839248432</v>
      </c>
      <c r="AF11" s="1">
        <v>20</v>
      </c>
      <c r="AG11" s="3">
        <f t="shared" si="8"/>
        <v>4.1753653444676413</v>
      </c>
      <c r="AH11" s="1">
        <v>168</v>
      </c>
      <c r="AI11" s="3">
        <f t="shared" si="9"/>
        <v>35.07306889352818</v>
      </c>
      <c r="AJ11" s="1">
        <v>20</v>
      </c>
      <c r="AK11" s="3">
        <f t="shared" si="10"/>
        <v>4.1753653444676413</v>
      </c>
      <c r="AL11" s="1">
        <v>2</v>
      </c>
      <c r="AM11" s="3">
        <f t="shared" si="11"/>
        <v>0.41753653444676408</v>
      </c>
      <c r="AN11" s="1">
        <v>1</v>
      </c>
      <c r="AO11" s="3">
        <f t="shared" si="12"/>
        <v>0.20876826722338204</v>
      </c>
      <c r="AP11" s="1">
        <v>2</v>
      </c>
      <c r="AQ11" s="3">
        <f t="shared" si="13"/>
        <v>0.41753653444676408</v>
      </c>
      <c r="AR11" s="1">
        <v>4</v>
      </c>
      <c r="AS11" s="3">
        <f t="shared" si="14"/>
        <v>0.83507306889352817</v>
      </c>
      <c r="AT11" s="1">
        <v>1</v>
      </c>
      <c r="AU11" s="3">
        <f t="shared" si="15"/>
        <v>0.20876826722338204</v>
      </c>
      <c r="AV11" s="1">
        <v>5</v>
      </c>
      <c r="AW11" s="3">
        <f t="shared" si="16"/>
        <v>1.0438413361169103</v>
      </c>
      <c r="AX11" s="1">
        <v>2</v>
      </c>
      <c r="AY11" s="3">
        <f t="shared" si="17"/>
        <v>0.41753653444676408</v>
      </c>
      <c r="AZ11" s="1">
        <v>14</v>
      </c>
      <c r="BA11" s="3">
        <f t="shared" si="18"/>
        <v>2.9227557411273488</v>
      </c>
      <c r="BB11" t="s">
        <v>209</v>
      </c>
      <c r="BD11"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64.454545454545439</v>
      </c>
      <c r="BE11" s="13">
        <f>2*(Дума_партии[[#This Row],[5. Всероссийская политическая партия "ЕДИНАЯ РОССИЯ"]]-(AB$124/100)*Дума_партии[[#This Row],[Число действительных избирательных бюллетеней]])</f>
        <v>85.079999999999984</v>
      </c>
      <c r="BF11" s="13">
        <f>(Дума_партии[[#This Row],[Вброс]]+Дума_партии[[#This Row],[Перекладывание]])/2</f>
        <v>74.767272727272712</v>
      </c>
      <c r="BG11" s="13">
        <v>0</v>
      </c>
    </row>
    <row r="12" spans="1:59" x14ac:dyDescent="0.4">
      <c r="A12" s="1" t="s">
        <v>49</v>
      </c>
      <c r="B12" s="1" t="s">
        <v>50</v>
      </c>
      <c r="C12" s="1" t="s">
        <v>51</v>
      </c>
      <c r="D12" s="1" t="s">
        <v>102</v>
      </c>
      <c r="E12" s="1" t="s">
        <v>113</v>
      </c>
      <c r="F12" s="1">
        <f t="shared" ca="1" si="19"/>
        <v>1752</v>
      </c>
      <c r="G12" t="s">
        <v>228</v>
      </c>
      <c r="H12" s="1">
        <v>1418</v>
      </c>
      <c r="I12" s="1">
        <f>Дума_партии[[#This Row],[Число избирателей, внесенных в список избирателей на момент окончания голосования]]</f>
        <v>1418</v>
      </c>
      <c r="J12" s="1">
        <v>1400</v>
      </c>
      <c r="K12" s="1">
        <v>0</v>
      </c>
      <c r="L12" s="1">
        <v>567</v>
      </c>
      <c r="M12" s="1">
        <v>15</v>
      </c>
      <c r="N12" s="3">
        <f t="shared" si="0"/>
        <v>41.043723554301835</v>
      </c>
      <c r="O12" s="3">
        <f t="shared" si="1"/>
        <v>1.0578279266572637</v>
      </c>
      <c r="P12" s="1">
        <v>818</v>
      </c>
      <c r="Q12" s="1">
        <v>15</v>
      </c>
      <c r="R12" s="1">
        <v>567</v>
      </c>
      <c r="S12" s="1">
        <f t="shared" si="2"/>
        <v>582</v>
      </c>
      <c r="T12" s="3">
        <f t="shared" si="3"/>
        <v>2.5773195876288661</v>
      </c>
      <c r="U12" s="1">
        <v>33</v>
      </c>
      <c r="V12" s="3">
        <f t="shared" si="4"/>
        <v>5.6701030927835054</v>
      </c>
      <c r="W12" s="1">
        <v>549</v>
      </c>
      <c r="X12" s="1">
        <v>0</v>
      </c>
      <c r="Y12" s="1">
        <v>0</v>
      </c>
      <c r="Z12" s="1">
        <v>136</v>
      </c>
      <c r="AA12" s="3">
        <f t="shared" si="5"/>
        <v>23.367697594501717</v>
      </c>
      <c r="AB12" s="1">
        <v>10</v>
      </c>
      <c r="AC12" s="3">
        <f t="shared" si="6"/>
        <v>1.7182130584192439</v>
      </c>
      <c r="AD12" s="1">
        <v>63</v>
      </c>
      <c r="AE12" s="3">
        <f t="shared" si="7"/>
        <v>10.824742268041238</v>
      </c>
      <c r="AF12" s="1">
        <v>36</v>
      </c>
      <c r="AG12" s="3">
        <f t="shared" si="8"/>
        <v>6.1855670103092786</v>
      </c>
      <c r="AH12" s="1">
        <v>187</v>
      </c>
      <c r="AI12" s="3">
        <f t="shared" si="9"/>
        <v>32.130584192439862</v>
      </c>
      <c r="AJ12" s="1">
        <v>45</v>
      </c>
      <c r="AK12" s="3">
        <f t="shared" si="10"/>
        <v>7.731958762886598</v>
      </c>
      <c r="AL12" s="1">
        <v>17</v>
      </c>
      <c r="AM12" s="3">
        <f t="shared" si="11"/>
        <v>2.9209621993127146</v>
      </c>
      <c r="AN12" s="1">
        <v>1</v>
      </c>
      <c r="AO12" s="3">
        <f t="shared" si="12"/>
        <v>0.1718213058419244</v>
      </c>
      <c r="AP12" s="1">
        <v>3</v>
      </c>
      <c r="AQ12" s="3">
        <f t="shared" si="13"/>
        <v>0.51546391752577314</v>
      </c>
      <c r="AR12" s="1">
        <v>8</v>
      </c>
      <c r="AS12" s="3">
        <f t="shared" si="14"/>
        <v>1.3745704467353952</v>
      </c>
      <c r="AT12" s="1">
        <v>0</v>
      </c>
      <c r="AU12" s="3">
        <f t="shared" si="15"/>
        <v>0</v>
      </c>
      <c r="AV12" s="1">
        <v>7</v>
      </c>
      <c r="AW12" s="3">
        <f t="shared" si="16"/>
        <v>1.2027491408934707</v>
      </c>
      <c r="AX12" s="1">
        <v>5</v>
      </c>
      <c r="AY12" s="3">
        <f t="shared" si="17"/>
        <v>0.85910652920962194</v>
      </c>
      <c r="AZ12" s="1">
        <v>31</v>
      </c>
      <c r="BA12" s="3">
        <f t="shared" si="18"/>
        <v>5.3264604810996561</v>
      </c>
      <c r="BB12" t="s">
        <v>209</v>
      </c>
      <c r="BD12"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0.51515151515147295</v>
      </c>
      <c r="BE12" s="13">
        <f>2*(Дума_партии[[#This Row],[5. Всероссийская политическая партия "ЕДИНАЯ РОССИЯ"]]-(AB$124/100)*Дума_партии[[#This Row],[Число действительных избирательных бюллетеней]])</f>
        <v>0.67999999999994998</v>
      </c>
      <c r="BF12" s="13">
        <f>(Дума_партии[[#This Row],[Вброс]]+Дума_партии[[#This Row],[Перекладывание]])/2</f>
        <v>0.59757575757571146</v>
      </c>
      <c r="BG12" s="13">
        <v>0</v>
      </c>
    </row>
    <row r="13" spans="1:59" x14ac:dyDescent="0.4">
      <c r="A13" s="1" t="s">
        <v>49</v>
      </c>
      <c r="B13" s="1" t="s">
        <v>50</v>
      </c>
      <c r="C13" s="1" t="s">
        <v>51</v>
      </c>
      <c r="D13" s="1" t="s">
        <v>102</v>
      </c>
      <c r="E13" s="1" t="s">
        <v>114</v>
      </c>
      <c r="F13" s="1">
        <f t="shared" ca="1" si="19"/>
        <v>1753</v>
      </c>
      <c r="G13" t="s">
        <v>228</v>
      </c>
      <c r="H13" s="1">
        <v>1035</v>
      </c>
      <c r="I13" s="1">
        <f>Дума_партии[[#This Row],[Число избирателей, внесенных в список избирателей на момент окончания голосования]]</f>
        <v>1035</v>
      </c>
      <c r="J13" s="1">
        <v>1000</v>
      </c>
      <c r="K13" s="1">
        <v>0</v>
      </c>
      <c r="L13" s="1">
        <v>389</v>
      </c>
      <c r="M13" s="1">
        <v>10</v>
      </c>
      <c r="N13" s="3">
        <f t="shared" si="0"/>
        <v>38.550724637681157</v>
      </c>
      <c r="O13" s="3">
        <f t="shared" si="1"/>
        <v>0.96618357487922701</v>
      </c>
      <c r="P13" s="1">
        <v>601</v>
      </c>
      <c r="Q13" s="1">
        <v>10</v>
      </c>
      <c r="R13" s="1">
        <v>389</v>
      </c>
      <c r="S13" s="1">
        <f t="shared" si="2"/>
        <v>399</v>
      </c>
      <c r="T13" s="3">
        <f t="shared" si="3"/>
        <v>2.5062656641604009</v>
      </c>
      <c r="U13" s="1">
        <v>22</v>
      </c>
      <c r="V13" s="3">
        <f t="shared" si="4"/>
        <v>5.5137844611528823</v>
      </c>
      <c r="W13" s="1">
        <v>377</v>
      </c>
      <c r="X13" s="1">
        <v>0</v>
      </c>
      <c r="Y13" s="1">
        <v>0</v>
      </c>
      <c r="Z13" s="1">
        <v>85</v>
      </c>
      <c r="AA13" s="3">
        <f t="shared" si="5"/>
        <v>21.303258145363408</v>
      </c>
      <c r="AB13" s="1">
        <v>4</v>
      </c>
      <c r="AC13" s="3">
        <f t="shared" si="6"/>
        <v>1.0025062656641603</v>
      </c>
      <c r="AD13" s="1">
        <v>36</v>
      </c>
      <c r="AE13" s="3">
        <f t="shared" si="7"/>
        <v>9.022556390977444</v>
      </c>
      <c r="AF13" s="1">
        <v>11</v>
      </c>
      <c r="AG13" s="3">
        <f t="shared" si="8"/>
        <v>2.7568922305764412</v>
      </c>
      <c r="AH13" s="1">
        <v>215</v>
      </c>
      <c r="AI13" s="3">
        <f t="shared" si="9"/>
        <v>53.884711779448622</v>
      </c>
      <c r="AJ13" s="1">
        <v>10</v>
      </c>
      <c r="AK13" s="3">
        <f t="shared" si="10"/>
        <v>2.5062656641604009</v>
      </c>
      <c r="AL13" s="1">
        <v>6</v>
      </c>
      <c r="AM13" s="3">
        <f t="shared" si="11"/>
        <v>1.5037593984962405</v>
      </c>
      <c r="AN13" s="1">
        <v>1</v>
      </c>
      <c r="AO13" s="3">
        <f t="shared" si="12"/>
        <v>0.25062656641604009</v>
      </c>
      <c r="AP13" s="1">
        <v>1</v>
      </c>
      <c r="AQ13" s="3">
        <f t="shared" si="13"/>
        <v>0.25062656641604009</v>
      </c>
      <c r="AR13" s="1">
        <v>1</v>
      </c>
      <c r="AS13" s="3">
        <f t="shared" si="14"/>
        <v>0.25062656641604009</v>
      </c>
      <c r="AT13" s="1">
        <v>0</v>
      </c>
      <c r="AU13" s="3">
        <f t="shared" si="15"/>
        <v>0</v>
      </c>
      <c r="AV13" s="1">
        <v>1</v>
      </c>
      <c r="AW13" s="3">
        <f t="shared" si="16"/>
        <v>0.25062656641604009</v>
      </c>
      <c r="AX13" s="1">
        <v>2</v>
      </c>
      <c r="AY13" s="3">
        <f t="shared" si="17"/>
        <v>0.50125313283208017</v>
      </c>
      <c r="AZ13" s="1">
        <v>4</v>
      </c>
      <c r="BA13" s="3">
        <f t="shared" si="18"/>
        <v>1.0025062656641603</v>
      </c>
      <c r="BB13" t="s">
        <v>209</v>
      </c>
      <c r="BD13"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131.54545454545453</v>
      </c>
      <c r="BE13" s="13">
        <f>2*(Дума_партии[[#This Row],[5. Всероссийская политическая партия "ЕДИНАЯ РОССИЯ"]]-(AB$124/100)*Дума_партии[[#This Row],[Число действительных избирательных бюллетеней]])</f>
        <v>173.64</v>
      </c>
      <c r="BF13" s="13">
        <f>(Дума_партии[[#This Row],[Вброс]]+Дума_партии[[#This Row],[Перекладывание]])/2</f>
        <v>152.59272727272725</v>
      </c>
      <c r="BG13" s="13">
        <v>0</v>
      </c>
    </row>
    <row r="14" spans="1:59" x14ac:dyDescent="0.4">
      <c r="A14" s="1" t="s">
        <v>49</v>
      </c>
      <c r="B14" s="1" t="s">
        <v>50</v>
      </c>
      <c r="C14" s="1" t="s">
        <v>51</v>
      </c>
      <c r="D14" s="1" t="s">
        <v>102</v>
      </c>
      <c r="E14" s="1" t="s">
        <v>115</v>
      </c>
      <c r="F14" s="1">
        <f t="shared" ca="1" si="19"/>
        <v>1754</v>
      </c>
      <c r="G14" t="s">
        <v>228</v>
      </c>
      <c r="H14" s="1">
        <v>965</v>
      </c>
      <c r="I14" s="1">
        <f>Дума_партии[[#This Row],[Число избирателей, внесенных в список избирателей на момент окончания голосования]]</f>
        <v>965</v>
      </c>
      <c r="J14" s="1">
        <v>900</v>
      </c>
      <c r="K14" s="1">
        <v>0</v>
      </c>
      <c r="L14" s="1">
        <v>328</v>
      </c>
      <c r="M14" s="1">
        <v>26</v>
      </c>
      <c r="N14" s="3">
        <f t="shared" si="0"/>
        <v>36.683937823834199</v>
      </c>
      <c r="O14" s="3">
        <f t="shared" si="1"/>
        <v>2.6943005181347148</v>
      </c>
      <c r="P14" s="1">
        <v>546</v>
      </c>
      <c r="Q14" s="1">
        <v>26</v>
      </c>
      <c r="R14" s="1">
        <v>328</v>
      </c>
      <c r="S14" s="1">
        <f t="shared" si="2"/>
        <v>354</v>
      </c>
      <c r="T14" s="3">
        <f t="shared" si="3"/>
        <v>7.3446327683615822</v>
      </c>
      <c r="U14" s="1">
        <v>17</v>
      </c>
      <c r="V14" s="3">
        <f t="shared" si="4"/>
        <v>4.8022598870056497</v>
      </c>
      <c r="W14" s="1">
        <v>337</v>
      </c>
      <c r="X14" s="1">
        <v>0</v>
      </c>
      <c r="Y14" s="1">
        <v>0</v>
      </c>
      <c r="Z14" s="1">
        <v>96</v>
      </c>
      <c r="AA14" s="3">
        <f t="shared" si="5"/>
        <v>27.118644067796609</v>
      </c>
      <c r="AB14" s="1">
        <v>3</v>
      </c>
      <c r="AC14" s="3">
        <f t="shared" si="6"/>
        <v>0.84745762711864403</v>
      </c>
      <c r="AD14" s="1">
        <v>27</v>
      </c>
      <c r="AE14" s="3">
        <f t="shared" si="7"/>
        <v>7.6271186440677967</v>
      </c>
      <c r="AF14" s="1">
        <v>23</v>
      </c>
      <c r="AG14" s="3">
        <f t="shared" si="8"/>
        <v>6.4971751412429377</v>
      </c>
      <c r="AH14" s="1">
        <v>124</v>
      </c>
      <c r="AI14" s="3">
        <f t="shared" si="9"/>
        <v>35.028248587570623</v>
      </c>
      <c r="AJ14" s="1">
        <v>20</v>
      </c>
      <c r="AK14" s="3">
        <f t="shared" si="10"/>
        <v>5.6497175141242941</v>
      </c>
      <c r="AL14" s="1">
        <v>10</v>
      </c>
      <c r="AM14" s="3">
        <f t="shared" si="11"/>
        <v>2.8248587570621471</v>
      </c>
      <c r="AN14" s="1">
        <v>1</v>
      </c>
      <c r="AO14" s="3">
        <f t="shared" si="12"/>
        <v>0.2824858757062147</v>
      </c>
      <c r="AP14" s="1">
        <v>1</v>
      </c>
      <c r="AQ14" s="3">
        <f t="shared" si="13"/>
        <v>0.2824858757062147</v>
      </c>
      <c r="AR14" s="1">
        <v>5</v>
      </c>
      <c r="AS14" s="3">
        <f t="shared" si="14"/>
        <v>1.4124293785310735</v>
      </c>
      <c r="AT14" s="1">
        <v>0</v>
      </c>
      <c r="AU14" s="3">
        <f t="shared" si="15"/>
        <v>0</v>
      </c>
      <c r="AV14" s="1">
        <v>7</v>
      </c>
      <c r="AW14" s="3">
        <f t="shared" si="16"/>
        <v>1.9774011299435028</v>
      </c>
      <c r="AX14" s="1">
        <v>5</v>
      </c>
      <c r="AY14" s="3">
        <f t="shared" si="17"/>
        <v>1.4124293785310735</v>
      </c>
      <c r="AZ14" s="1">
        <v>15</v>
      </c>
      <c r="BA14" s="3">
        <f t="shared" si="18"/>
        <v>4.2372881355932206</v>
      </c>
      <c r="BB14" t="s">
        <v>209</v>
      </c>
      <c r="BD14"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14.272727272727252</v>
      </c>
      <c r="BE14" s="13">
        <f>2*(Дума_партии[[#This Row],[5. Всероссийская политическая партия "ЕДИНАЯ РОССИЯ"]]-(AB$124/100)*Дума_партии[[#This Row],[Число действительных избирательных бюллетеней]])</f>
        <v>18.839999999999975</v>
      </c>
      <c r="BF14" s="13">
        <f>(Дума_партии[[#This Row],[Вброс]]+Дума_партии[[#This Row],[Перекладывание]])/2</f>
        <v>16.556363636363614</v>
      </c>
      <c r="BG14" s="13">
        <v>0</v>
      </c>
    </row>
    <row r="15" spans="1:59" x14ac:dyDescent="0.4">
      <c r="A15" s="1" t="s">
        <v>49</v>
      </c>
      <c r="B15" s="1" t="s">
        <v>50</v>
      </c>
      <c r="C15" s="1" t="s">
        <v>51</v>
      </c>
      <c r="D15" s="1" t="s">
        <v>102</v>
      </c>
      <c r="E15" s="1" t="s">
        <v>116</v>
      </c>
      <c r="F15" s="1">
        <f t="shared" ca="1" si="19"/>
        <v>1755</v>
      </c>
      <c r="G15" t="s">
        <v>228</v>
      </c>
      <c r="H15" s="1">
        <v>1484</v>
      </c>
      <c r="I15" s="1">
        <f>Дума_партии[[#This Row],[Число избирателей, внесенных в список избирателей на момент окончания голосования]]</f>
        <v>1484</v>
      </c>
      <c r="J15" s="1">
        <v>1500</v>
      </c>
      <c r="K15" s="1">
        <v>0</v>
      </c>
      <c r="L15" s="1">
        <v>540</v>
      </c>
      <c r="M15" s="1">
        <v>9</v>
      </c>
      <c r="N15" s="3">
        <f t="shared" si="0"/>
        <v>36.994609164420488</v>
      </c>
      <c r="O15" s="3">
        <f t="shared" si="1"/>
        <v>0.60646900269541781</v>
      </c>
      <c r="P15" s="1">
        <v>951</v>
      </c>
      <c r="Q15" s="1">
        <v>9</v>
      </c>
      <c r="R15" s="1">
        <v>536</v>
      </c>
      <c r="S15" s="1">
        <f t="shared" si="2"/>
        <v>545</v>
      </c>
      <c r="T15" s="3">
        <f t="shared" si="3"/>
        <v>1.6513761467889909</v>
      </c>
      <c r="U15" s="1">
        <v>27</v>
      </c>
      <c r="V15" s="3">
        <f t="shared" si="4"/>
        <v>4.9541284403669721</v>
      </c>
      <c r="W15" s="1">
        <v>518</v>
      </c>
      <c r="X15" s="1">
        <v>0</v>
      </c>
      <c r="Y15" s="1">
        <v>0</v>
      </c>
      <c r="Z15" s="1">
        <v>116</v>
      </c>
      <c r="AA15" s="3">
        <f t="shared" si="5"/>
        <v>21.284403669724771</v>
      </c>
      <c r="AB15" s="1">
        <v>2</v>
      </c>
      <c r="AC15" s="3">
        <f t="shared" si="6"/>
        <v>0.3669724770642202</v>
      </c>
      <c r="AD15" s="1">
        <v>42</v>
      </c>
      <c r="AE15" s="3">
        <f t="shared" si="7"/>
        <v>7.7064220183486238</v>
      </c>
      <c r="AF15" s="1">
        <v>35</v>
      </c>
      <c r="AG15" s="3">
        <f t="shared" si="8"/>
        <v>6.4220183486238529</v>
      </c>
      <c r="AH15" s="1">
        <v>219</v>
      </c>
      <c r="AI15" s="3">
        <f t="shared" si="9"/>
        <v>40.183486238532112</v>
      </c>
      <c r="AJ15" s="1">
        <v>44</v>
      </c>
      <c r="AK15" s="3">
        <f t="shared" si="10"/>
        <v>8.0733944954128436</v>
      </c>
      <c r="AL15" s="1">
        <v>11</v>
      </c>
      <c r="AM15" s="3">
        <f t="shared" si="11"/>
        <v>2.0183486238532109</v>
      </c>
      <c r="AN15" s="1">
        <v>0</v>
      </c>
      <c r="AO15" s="3">
        <f t="shared" si="12"/>
        <v>0</v>
      </c>
      <c r="AP15" s="1">
        <v>5</v>
      </c>
      <c r="AQ15" s="3">
        <f t="shared" si="13"/>
        <v>0.91743119266055051</v>
      </c>
      <c r="AR15" s="1">
        <v>12</v>
      </c>
      <c r="AS15" s="3">
        <f t="shared" si="14"/>
        <v>2.2018348623853212</v>
      </c>
      <c r="AT15" s="1">
        <v>2</v>
      </c>
      <c r="AU15" s="3">
        <f t="shared" si="15"/>
        <v>0.3669724770642202</v>
      </c>
      <c r="AV15" s="1">
        <v>4</v>
      </c>
      <c r="AW15" s="3">
        <f t="shared" si="16"/>
        <v>0.73394495412844041</v>
      </c>
      <c r="AX15" s="1">
        <v>8</v>
      </c>
      <c r="AY15" s="3">
        <f t="shared" si="17"/>
        <v>1.4678899082568808</v>
      </c>
      <c r="AZ15" s="1">
        <v>18</v>
      </c>
      <c r="BA15" s="3">
        <f t="shared" si="18"/>
        <v>3.3027522935779818</v>
      </c>
      <c r="BB15" t="s">
        <v>209</v>
      </c>
      <c r="BD15"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64.96969696969694</v>
      </c>
      <c r="BE15" s="13">
        <f>2*(Дума_партии[[#This Row],[5. Всероссийская политическая партия "ЕДИНАЯ РОССИЯ"]]-(AB$124/100)*Дума_партии[[#This Row],[Число действительных избирательных бюллетеней]])</f>
        <v>85.759999999999991</v>
      </c>
      <c r="BF15" s="13">
        <f>(Дума_партии[[#This Row],[Вброс]]+Дума_партии[[#This Row],[Перекладывание]])/2</f>
        <v>75.364848484848466</v>
      </c>
      <c r="BG15" s="13">
        <v>0</v>
      </c>
    </row>
    <row r="16" spans="1:59" x14ac:dyDescent="0.4">
      <c r="A16" s="1" t="s">
        <v>49</v>
      </c>
      <c r="B16" s="1" t="s">
        <v>50</v>
      </c>
      <c r="C16" s="1" t="s">
        <v>51</v>
      </c>
      <c r="D16" s="1" t="s">
        <v>102</v>
      </c>
      <c r="E16" s="1" t="s">
        <v>117</v>
      </c>
      <c r="F16" s="1">
        <f t="shared" ca="1" si="19"/>
        <v>1756</v>
      </c>
      <c r="G16" t="s">
        <v>228</v>
      </c>
      <c r="H16" s="1">
        <v>1210</v>
      </c>
      <c r="I16" s="1">
        <f>Дума_партии[[#This Row],[Число избирателей, внесенных в список избирателей на момент окончания голосования]]</f>
        <v>1210</v>
      </c>
      <c r="J16" s="1">
        <v>1000</v>
      </c>
      <c r="K16" s="1">
        <v>0</v>
      </c>
      <c r="L16" s="1">
        <v>403</v>
      </c>
      <c r="M16" s="1">
        <v>2</v>
      </c>
      <c r="N16" s="3">
        <f t="shared" si="0"/>
        <v>33.471074380165291</v>
      </c>
      <c r="O16" s="3">
        <f t="shared" si="1"/>
        <v>0.16528925619834711</v>
      </c>
      <c r="P16" s="1">
        <v>595</v>
      </c>
      <c r="Q16" s="1">
        <v>2</v>
      </c>
      <c r="R16" s="1">
        <v>403</v>
      </c>
      <c r="S16" s="1">
        <f t="shared" si="2"/>
        <v>405</v>
      </c>
      <c r="T16" s="3">
        <f t="shared" si="3"/>
        <v>0.49382716049382713</v>
      </c>
      <c r="U16" s="1">
        <v>71</v>
      </c>
      <c r="V16" s="3">
        <f t="shared" si="4"/>
        <v>17.530864197530864</v>
      </c>
      <c r="W16" s="1">
        <v>334</v>
      </c>
      <c r="X16" s="1">
        <v>0</v>
      </c>
      <c r="Y16" s="1">
        <v>0</v>
      </c>
      <c r="Z16" s="1">
        <v>53</v>
      </c>
      <c r="AA16" s="3">
        <f t="shared" si="5"/>
        <v>13.086419753086419</v>
      </c>
      <c r="AB16" s="1">
        <v>6</v>
      </c>
      <c r="AC16" s="3">
        <f t="shared" si="6"/>
        <v>1.4814814814814814</v>
      </c>
      <c r="AD16" s="1">
        <v>35</v>
      </c>
      <c r="AE16" s="3">
        <f t="shared" si="7"/>
        <v>8.6419753086419746</v>
      </c>
      <c r="AF16" s="1">
        <v>26</v>
      </c>
      <c r="AG16" s="3">
        <f t="shared" si="8"/>
        <v>6.4197530864197532</v>
      </c>
      <c r="AH16" s="1">
        <v>150</v>
      </c>
      <c r="AI16" s="3">
        <f t="shared" si="9"/>
        <v>37.037037037037038</v>
      </c>
      <c r="AJ16" s="1">
        <v>22</v>
      </c>
      <c r="AK16" s="3">
        <f t="shared" si="10"/>
        <v>5.4320987654320989</v>
      </c>
      <c r="AL16" s="1">
        <v>6</v>
      </c>
      <c r="AM16" s="3">
        <f t="shared" si="11"/>
        <v>1.4814814814814814</v>
      </c>
      <c r="AN16" s="1">
        <v>0</v>
      </c>
      <c r="AO16" s="3">
        <f t="shared" si="12"/>
        <v>0</v>
      </c>
      <c r="AP16" s="1">
        <v>8</v>
      </c>
      <c r="AQ16" s="3">
        <f t="shared" si="13"/>
        <v>1.9753086419753085</v>
      </c>
      <c r="AR16" s="1">
        <v>5</v>
      </c>
      <c r="AS16" s="3">
        <f t="shared" si="14"/>
        <v>1.2345679012345678</v>
      </c>
      <c r="AT16" s="1">
        <v>0</v>
      </c>
      <c r="AU16" s="3">
        <f t="shared" si="15"/>
        <v>0</v>
      </c>
      <c r="AV16" s="1">
        <v>3</v>
      </c>
      <c r="AW16" s="3">
        <f t="shared" si="16"/>
        <v>0.7407407407407407</v>
      </c>
      <c r="AX16" s="1">
        <v>4</v>
      </c>
      <c r="AY16" s="3">
        <f t="shared" si="17"/>
        <v>0.98765432098765427</v>
      </c>
      <c r="AZ16" s="1">
        <v>16</v>
      </c>
      <c r="BA16" s="3">
        <f t="shared" si="18"/>
        <v>3.9506172839506171</v>
      </c>
      <c r="BB16" t="s">
        <v>209</v>
      </c>
      <c r="BD16"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55.21212121212119</v>
      </c>
      <c r="BE16" s="13">
        <f>2*(Дума_партии[[#This Row],[5. Всероссийская политическая партия "ЕДИНАЯ РОССИЯ"]]-(AB$124/100)*Дума_партии[[#This Row],[Число действительных избирательных бюллетеней]])</f>
        <v>72.88</v>
      </c>
      <c r="BF16" s="13">
        <f>(Дума_партии[[#This Row],[Вброс]]+Дума_партии[[#This Row],[Перекладывание]])/2</f>
        <v>64.046060606060593</v>
      </c>
      <c r="BG16" s="13">
        <v>0</v>
      </c>
    </row>
    <row r="17" spans="1:59" x14ac:dyDescent="0.4">
      <c r="A17" s="1" t="s">
        <v>49</v>
      </c>
      <c r="B17" s="1" t="s">
        <v>50</v>
      </c>
      <c r="C17" s="1" t="s">
        <v>51</v>
      </c>
      <c r="D17" s="1" t="s">
        <v>102</v>
      </c>
      <c r="E17" s="1" t="s">
        <v>118</v>
      </c>
      <c r="F17" s="1">
        <f t="shared" ca="1" si="19"/>
        <v>1757</v>
      </c>
      <c r="G17" t="s">
        <v>228</v>
      </c>
      <c r="H17" s="1">
        <v>1420</v>
      </c>
      <c r="I17" s="1">
        <f>Дума_партии[[#This Row],[Число избирателей, внесенных в список избирателей на момент окончания голосования]]</f>
        <v>1420</v>
      </c>
      <c r="J17" s="1">
        <v>1400</v>
      </c>
      <c r="K17" s="1">
        <v>0</v>
      </c>
      <c r="L17" s="1">
        <v>461</v>
      </c>
      <c r="M17" s="1">
        <v>8</v>
      </c>
      <c r="N17" s="3">
        <f t="shared" si="0"/>
        <v>33.028169014084504</v>
      </c>
      <c r="O17" s="3">
        <f t="shared" si="1"/>
        <v>0.56338028169014087</v>
      </c>
      <c r="P17" s="1">
        <v>931</v>
      </c>
      <c r="Q17" s="1">
        <v>8</v>
      </c>
      <c r="R17" s="1">
        <v>460</v>
      </c>
      <c r="S17" s="1">
        <f t="shared" si="2"/>
        <v>468</v>
      </c>
      <c r="T17" s="3">
        <f t="shared" si="3"/>
        <v>1.7094017094017093</v>
      </c>
      <c r="U17" s="1">
        <v>29</v>
      </c>
      <c r="V17" s="3">
        <f t="shared" si="4"/>
        <v>6.1965811965811968</v>
      </c>
      <c r="W17" s="1">
        <v>439</v>
      </c>
      <c r="X17" s="1">
        <v>0</v>
      </c>
      <c r="Y17" s="1">
        <v>0</v>
      </c>
      <c r="Z17" s="1">
        <v>99</v>
      </c>
      <c r="AA17" s="3">
        <f t="shared" si="5"/>
        <v>21.153846153846153</v>
      </c>
      <c r="AB17" s="1">
        <v>10</v>
      </c>
      <c r="AC17" s="3">
        <f t="shared" si="6"/>
        <v>2.1367521367521367</v>
      </c>
      <c r="AD17" s="1">
        <v>62</v>
      </c>
      <c r="AE17" s="3">
        <f t="shared" si="7"/>
        <v>13.247863247863247</v>
      </c>
      <c r="AF17" s="1">
        <v>35</v>
      </c>
      <c r="AG17" s="3">
        <f t="shared" si="8"/>
        <v>7.4786324786324787</v>
      </c>
      <c r="AH17" s="1">
        <v>142</v>
      </c>
      <c r="AI17" s="3">
        <f t="shared" si="9"/>
        <v>30.341880341880341</v>
      </c>
      <c r="AJ17" s="1">
        <v>32</v>
      </c>
      <c r="AK17" s="3">
        <f t="shared" si="10"/>
        <v>6.8376068376068373</v>
      </c>
      <c r="AL17" s="1">
        <v>14</v>
      </c>
      <c r="AM17" s="3">
        <f t="shared" si="11"/>
        <v>2.9914529914529915</v>
      </c>
      <c r="AN17" s="1">
        <v>2</v>
      </c>
      <c r="AO17" s="3">
        <f t="shared" si="12"/>
        <v>0.42735042735042733</v>
      </c>
      <c r="AP17" s="1">
        <v>5</v>
      </c>
      <c r="AQ17" s="3">
        <f t="shared" si="13"/>
        <v>1.0683760683760684</v>
      </c>
      <c r="AR17" s="1">
        <v>6</v>
      </c>
      <c r="AS17" s="3">
        <f t="shared" si="14"/>
        <v>1.2820512820512822</v>
      </c>
      <c r="AT17" s="1">
        <v>0</v>
      </c>
      <c r="AU17" s="3">
        <f t="shared" si="15"/>
        <v>0</v>
      </c>
      <c r="AV17" s="1">
        <v>7</v>
      </c>
      <c r="AW17" s="3">
        <f t="shared" si="16"/>
        <v>1.4957264957264957</v>
      </c>
      <c r="AX17" s="1">
        <v>7</v>
      </c>
      <c r="AY17" s="3">
        <f t="shared" si="17"/>
        <v>1.4957264957264957</v>
      </c>
      <c r="AZ17" s="1">
        <v>18</v>
      </c>
      <c r="BA17" s="3">
        <f t="shared" si="18"/>
        <v>3.8461538461538463</v>
      </c>
      <c r="BB17" t="s">
        <v>209</v>
      </c>
      <c r="BD17"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-11.000000000000028</v>
      </c>
      <c r="BE17" s="13">
        <f>2*(Дума_партии[[#This Row],[5. Всероссийская политическая партия "ЕДИНАЯ РОССИЯ"]]-(AB$124/100)*Дума_партии[[#This Row],[Число действительных избирательных бюллетеней]])</f>
        <v>-14.520000000000039</v>
      </c>
      <c r="BF17" s="13">
        <f>(Дума_партии[[#This Row],[Вброс]]+Дума_партии[[#This Row],[Перекладывание]])/2</f>
        <v>-12.760000000000034</v>
      </c>
      <c r="BG17" s="13">
        <v>0</v>
      </c>
    </row>
    <row r="18" spans="1:59" x14ac:dyDescent="0.4">
      <c r="A18" s="1" t="s">
        <v>49</v>
      </c>
      <c r="B18" s="1" t="s">
        <v>50</v>
      </c>
      <c r="C18" s="1" t="s">
        <v>51</v>
      </c>
      <c r="D18" s="1" t="s">
        <v>102</v>
      </c>
      <c r="E18" s="1" t="s">
        <v>119</v>
      </c>
      <c r="F18" s="1">
        <f t="shared" ca="1" si="19"/>
        <v>1758</v>
      </c>
      <c r="G18" t="s">
        <v>228</v>
      </c>
      <c r="H18" s="1">
        <v>1109</v>
      </c>
      <c r="I18" s="1">
        <f>Дума_партии[[#This Row],[Число избирателей, внесенных в список избирателей на момент окончания голосования]]</f>
        <v>1109</v>
      </c>
      <c r="J18" s="1">
        <v>1100</v>
      </c>
      <c r="K18" s="1">
        <v>0</v>
      </c>
      <c r="L18" s="1">
        <v>379</v>
      </c>
      <c r="M18" s="1">
        <v>35</v>
      </c>
      <c r="N18" s="3">
        <f t="shared" si="0"/>
        <v>37.330928764652839</v>
      </c>
      <c r="O18" s="3">
        <f t="shared" si="1"/>
        <v>3.1559963931469794</v>
      </c>
      <c r="P18" s="1">
        <v>686</v>
      </c>
      <c r="Q18" s="1">
        <v>35</v>
      </c>
      <c r="R18" s="1">
        <v>379</v>
      </c>
      <c r="S18" s="1">
        <f t="shared" si="2"/>
        <v>414</v>
      </c>
      <c r="T18" s="3">
        <f t="shared" si="3"/>
        <v>8.454106280193237</v>
      </c>
      <c r="U18" s="1">
        <v>20</v>
      </c>
      <c r="V18" s="3">
        <f t="shared" si="4"/>
        <v>4.8309178743961354</v>
      </c>
      <c r="W18" s="1">
        <v>394</v>
      </c>
      <c r="X18" s="1">
        <v>0</v>
      </c>
      <c r="Y18" s="1">
        <v>0</v>
      </c>
      <c r="Z18" s="1">
        <v>97</v>
      </c>
      <c r="AA18" s="3">
        <f t="shared" si="5"/>
        <v>23.429951690821255</v>
      </c>
      <c r="AB18" s="1">
        <v>5</v>
      </c>
      <c r="AC18" s="3">
        <f t="shared" si="6"/>
        <v>1.2077294685990339</v>
      </c>
      <c r="AD18" s="1">
        <v>30</v>
      </c>
      <c r="AE18" s="3">
        <f t="shared" si="7"/>
        <v>7.2463768115942031</v>
      </c>
      <c r="AF18" s="1">
        <v>28</v>
      </c>
      <c r="AG18" s="3">
        <f t="shared" si="8"/>
        <v>6.7632850241545892</v>
      </c>
      <c r="AH18" s="1">
        <v>137</v>
      </c>
      <c r="AI18" s="3">
        <f t="shared" si="9"/>
        <v>33.091787439613526</v>
      </c>
      <c r="AJ18" s="1">
        <v>43</v>
      </c>
      <c r="AK18" s="3">
        <f t="shared" si="10"/>
        <v>10.386473429951691</v>
      </c>
      <c r="AL18" s="1">
        <v>7</v>
      </c>
      <c r="AM18" s="3">
        <f t="shared" si="11"/>
        <v>1.6908212560386473</v>
      </c>
      <c r="AN18" s="1">
        <v>4</v>
      </c>
      <c r="AO18" s="3">
        <f t="shared" si="12"/>
        <v>0.96618357487922701</v>
      </c>
      <c r="AP18" s="1">
        <v>7</v>
      </c>
      <c r="AQ18" s="3">
        <f t="shared" si="13"/>
        <v>1.6908212560386473</v>
      </c>
      <c r="AR18" s="1">
        <v>7</v>
      </c>
      <c r="AS18" s="3">
        <f t="shared" si="14"/>
        <v>1.6908212560386473</v>
      </c>
      <c r="AT18" s="1">
        <v>1</v>
      </c>
      <c r="AU18" s="3">
        <f t="shared" si="15"/>
        <v>0.24154589371980675</v>
      </c>
      <c r="AV18" s="1">
        <v>4</v>
      </c>
      <c r="AW18" s="3">
        <f t="shared" si="16"/>
        <v>0.96618357487922701</v>
      </c>
      <c r="AX18" s="1">
        <v>6</v>
      </c>
      <c r="AY18" s="3">
        <f t="shared" si="17"/>
        <v>1.4492753623188406</v>
      </c>
      <c r="AZ18" s="1">
        <v>18</v>
      </c>
      <c r="BA18" s="3">
        <f t="shared" si="18"/>
        <v>4.3478260869565215</v>
      </c>
      <c r="BB18" t="s">
        <v>209</v>
      </c>
      <c r="BD18"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4.6060606060605949</v>
      </c>
      <c r="BE18" s="13">
        <f>2*(Дума_партии[[#This Row],[5. Всероссийская политическая партия "ЕДИНАЯ РОССИЯ"]]-(AB$124/100)*Дума_партии[[#This Row],[Число действительных избирательных бюллетеней]])</f>
        <v>6.0799999999999841</v>
      </c>
      <c r="BF18" s="13">
        <f>(Дума_партии[[#This Row],[Вброс]]+Дума_партии[[#This Row],[Перекладывание]])/2</f>
        <v>5.3430303030302895</v>
      </c>
      <c r="BG18" s="13">
        <v>0</v>
      </c>
    </row>
    <row r="19" spans="1:59" x14ac:dyDescent="0.4">
      <c r="A19" s="1" t="s">
        <v>49</v>
      </c>
      <c r="B19" s="1" t="s">
        <v>50</v>
      </c>
      <c r="C19" s="1" t="s">
        <v>51</v>
      </c>
      <c r="D19" s="1" t="s">
        <v>102</v>
      </c>
      <c r="E19" s="1" t="s">
        <v>120</v>
      </c>
      <c r="F19" s="1">
        <f t="shared" ca="1" si="19"/>
        <v>1759</v>
      </c>
      <c r="G19" t="s">
        <v>228</v>
      </c>
      <c r="H19" s="1">
        <v>1091</v>
      </c>
      <c r="I19" s="1">
        <f>Дума_партии[[#This Row],[Число избирателей, внесенных в список избирателей на момент окончания голосования]]</f>
        <v>1091</v>
      </c>
      <c r="J19" s="1">
        <v>800</v>
      </c>
      <c r="K19" s="1">
        <v>0</v>
      </c>
      <c r="L19" s="1">
        <v>475</v>
      </c>
      <c r="M19" s="1">
        <v>34</v>
      </c>
      <c r="N19" s="3">
        <f t="shared" si="0"/>
        <v>46.654445462878094</v>
      </c>
      <c r="O19" s="3">
        <f t="shared" si="1"/>
        <v>3.1164069660861595</v>
      </c>
      <c r="P19" s="1">
        <v>291</v>
      </c>
      <c r="Q19" s="1">
        <v>34</v>
      </c>
      <c r="R19" s="1">
        <v>473</v>
      </c>
      <c r="S19" s="1">
        <f t="shared" si="2"/>
        <v>507</v>
      </c>
      <c r="T19" s="3">
        <f t="shared" si="3"/>
        <v>6.7061143984220903</v>
      </c>
      <c r="U19" s="1">
        <v>9</v>
      </c>
      <c r="V19" s="3">
        <f t="shared" si="4"/>
        <v>1.7751479289940828</v>
      </c>
      <c r="W19" s="1">
        <v>498</v>
      </c>
      <c r="X19" s="1">
        <v>0</v>
      </c>
      <c r="Y19" s="1">
        <v>0</v>
      </c>
      <c r="Z19" s="1">
        <v>59</v>
      </c>
      <c r="AA19" s="3">
        <f t="shared" si="5"/>
        <v>11.637080867850099</v>
      </c>
      <c r="AB19" s="1">
        <v>2</v>
      </c>
      <c r="AC19" s="3">
        <f t="shared" si="6"/>
        <v>0.39447731755424065</v>
      </c>
      <c r="AD19" s="1">
        <v>31</v>
      </c>
      <c r="AE19" s="3">
        <f t="shared" si="7"/>
        <v>6.1143984220907299</v>
      </c>
      <c r="AF19" s="1">
        <v>22</v>
      </c>
      <c r="AG19" s="3">
        <f t="shared" si="8"/>
        <v>4.3392504930966469</v>
      </c>
      <c r="AH19" s="1">
        <v>313</v>
      </c>
      <c r="AI19" s="3">
        <f t="shared" si="9"/>
        <v>61.735700197238657</v>
      </c>
      <c r="AJ19" s="1">
        <v>20</v>
      </c>
      <c r="AK19" s="3">
        <f t="shared" si="10"/>
        <v>3.9447731755424065</v>
      </c>
      <c r="AL19" s="1">
        <v>10</v>
      </c>
      <c r="AM19" s="3">
        <f t="shared" si="11"/>
        <v>1.9723865877712032</v>
      </c>
      <c r="AN19" s="1">
        <v>2</v>
      </c>
      <c r="AO19" s="3">
        <f t="shared" si="12"/>
        <v>0.39447731755424065</v>
      </c>
      <c r="AP19" s="1">
        <v>8</v>
      </c>
      <c r="AQ19" s="3">
        <f t="shared" si="13"/>
        <v>1.5779092702169626</v>
      </c>
      <c r="AR19" s="1">
        <v>7</v>
      </c>
      <c r="AS19" s="3">
        <f t="shared" si="14"/>
        <v>1.3806706114398422</v>
      </c>
      <c r="AT19" s="1">
        <v>0</v>
      </c>
      <c r="AU19" s="3">
        <f t="shared" si="15"/>
        <v>0</v>
      </c>
      <c r="AV19" s="1">
        <v>6</v>
      </c>
      <c r="AW19" s="3">
        <f t="shared" si="16"/>
        <v>1.1834319526627219</v>
      </c>
      <c r="AX19" s="1">
        <v>1</v>
      </c>
      <c r="AY19" s="3">
        <f t="shared" si="17"/>
        <v>0.19723865877712032</v>
      </c>
      <c r="AZ19" s="1">
        <v>17</v>
      </c>
      <c r="BA19" s="3">
        <f t="shared" si="18"/>
        <v>3.3530571992110452</v>
      </c>
      <c r="BB19" t="s">
        <v>209</v>
      </c>
      <c r="BD19"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217.69696969696969</v>
      </c>
      <c r="BE19" s="13">
        <f>2*(Дума_партии[[#This Row],[5. Всероссийская политическая партия "ЕДИНАЯ РОССИЯ"]]-(AB$124/100)*Дума_партии[[#This Row],[Число действительных избирательных бюллетеней]])</f>
        <v>287.35999999999996</v>
      </c>
      <c r="BF19" s="13">
        <f>(Дума_партии[[#This Row],[Вброс]]+Дума_партии[[#This Row],[Перекладывание]])/2</f>
        <v>252.52848484848482</v>
      </c>
      <c r="BG19" s="13">
        <v>0</v>
      </c>
    </row>
    <row r="20" spans="1:59" x14ac:dyDescent="0.4">
      <c r="A20" s="1" t="s">
        <v>49</v>
      </c>
      <c r="B20" s="1" t="s">
        <v>50</v>
      </c>
      <c r="C20" s="1" t="s">
        <v>51</v>
      </c>
      <c r="D20" s="1" t="s">
        <v>102</v>
      </c>
      <c r="E20" s="1" t="s">
        <v>121</v>
      </c>
      <c r="F20" s="1">
        <f t="shared" ca="1" si="19"/>
        <v>1760</v>
      </c>
      <c r="G20" s="1" t="s">
        <v>229</v>
      </c>
      <c r="H20" s="1">
        <v>353</v>
      </c>
      <c r="I20" s="1">
        <f>Дума_партии[[#This Row],[Число избирателей, внесенных в список избирателей на момент окончания голосования]]</f>
        <v>353</v>
      </c>
      <c r="J20" s="1">
        <v>300</v>
      </c>
      <c r="K20" s="1">
        <v>0</v>
      </c>
      <c r="L20" s="1">
        <v>117</v>
      </c>
      <c r="M20" s="1">
        <v>51</v>
      </c>
      <c r="N20" s="3">
        <f t="shared" si="0"/>
        <v>47.592067988668553</v>
      </c>
      <c r="O20" s="3">
        <f t="shared" si="1"/>
        <v>14.447592067988669</v>
      </c>
      <c r="P20" s="1">
        <v>132</v>
      </c>
      <c r="Q20" s="1">
        <v>51</v>
      </c>
      <c r="R20" s="1">
        <v>117</v>
      </c>
      <c r="S20" s="1">
        <f t="shared" si="2"/>
        <v>168</v>
      </c>
      <c r="T20" s="3">
        <f t="shared" si="3"/>
        <v>30.357142857142858</v>
      </c>
      <c r="U20" s="1">
        <v>16</v>
      </c>
      <c r="V20" s="3">
        <f t="shared" si="4"/>
        <v>9.5238095238095237</v>
      </c>
      <c r="W20" s="1">
        <v>152</v>
      </c>
      <c r="X20" s="1">
        <v>0</v>
      </c>
      <c r="Y20" s="1">
        <v>0</v>
      </c>
      <c r="Z20" s="1">
        <v>30</v>
      </c>
      <c r="AA20" s="3">
        <f t="shared" si="5"/>
        <v>17.857142857142858</v>
      </c>
      <c r="AB20" s="1">
        <v>2</v>
      </c>
      <c r="AC20" s="3">
        <f t="shared" si="6"/>
        <v>1.1904761904761905</v>
      </c>
      <c r="AD20" s="1">
        <v>11</v>
      </c>
      <c r="AE20" s="3">
        <f t="shared" si="7"/>
        <v>6.5476190476190474</v>
      </c>
      <c r="AF20" s="1">
        <v>6</v>
      </c>
      <c r="AG20" s="3">
        <f t="shared" si="8"/>
        <v>3.5714285714285716</v>
      </c>
      <c r="AH20" s="1">
        <v>92</v>
      </c>
      <c r="AI20" s="3">
        <f t="shared" si="9"/>
        <v>54.761904761904759</v>
      </c>
      <c r="AJ20" s="1">
        <v>4</v>
      </c>
      <c r="AK20" s="3">
        <f t="shared" si="10"/>
        <v>2.3809523809523809</v>
      </c>
      <c r="AL20" s="1">
        <v>2</v>
      </c>
      <c r="AM20" s="3">
        <f t="shared" si="11"/>
        <v>1.1904761904761905</v>
      </c>
      <c r="AN20" s="1">
        <v>0</v>
      </c>
      <c r="AO20" s="3">
        <f t="shared" si="12"/>
        <v>0</v>
      </c>
      <c r="AP20" s="1">
        <v>1</v>
      </c>
      <c r="AQ20" s="3">
        <f t="shared" si="13"/>
        <v>0.59523809523809523</v>
      </c>
      <c r="AR20" s="1">
        <v>4</v>
      </c>
      <c r="AS20" s="3">
        <f t="shared" si="14"/>
        <v>2.3809523809523809</v>
      </c>
      <c r="AT20" s="1">
        <v>0</v>
      </c>
      <c r="AU20" s="3">
        <f t="shared" si="15"/>
        <v>0</v>
      </c>
      <c r="AV20" s="1">
        <v>0</v>
      </c>
      <c r="AW20" s="3">
        <f t="shared" si="16"/>
        <v>0</v>
      </c>
      <c r="AX20" s="1">
        <v>0</v>
      </c>
      <c r="AY20" s="3">
        <f t="shared" si="17"/>
        <v>0</v>
      </c>
      <c r="AZ20" s="1">
        <v>0</v>
      </c>
      <c r="BA20" s="3">
        <f t="shared" si="18"/>
        <v>0</v>
      </c>
      <c r="BB20" t="s">
        <v>209</v>
      </c>
      <c r="BD20"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61.090909090909086</v>
      </c>
      <c r="BE20" s="13">
        <f>2*(Дума_партии[[#This Row],[5. Всероссийская политическая партия "ЕДИНАЯ РОССИЯ"]]-(AB$124/100)*Дума_партии[[#This Row],[Число действительных избирательных бюллетеней]])</f>
        <v>80.639999999999986</v>
      </c>
      <c r="BF20" s="13">
        <f>(Дума_партии[[#This Row],[Вброс]]+Дума_партии[[#This Row],[Перекладывание]])/2</f>
        <v>70.86545454545454</v>
      </c>
      <c r="BG20" s="13">
        <v>0</v>
      </c>
    </row>
    <row r="21" spans="1:59" x14ac:dyDescent="0.4">
      <c r="A21" s="1" t="s">
        <v>49</v>
      </c>
      <c r="B21" s="1" t="s">
        <v>50</v>
      </c>
      <c r="C21" s="1" t="s">
        <v>51</v>
      </c>
      <c r="D21" s="1" t="s">
        <v>102</v>
      </c>
      <c r="E21" s="1" t="s">
        <v>122</v>
      </c>
      <c r="F21" s="1">
        <f t="shared" ca="1" si="19"/>
        <v>1761</v>
      </c>
      <c r="G21" t="s">
        <v>228</v>
      </c>
      <c r="H21" s="1">
        <v>1510</v>
      </c>
      <c r="I21" s="1">
        <f>Дума_партии[[#This Row],[Число избирателей, внесенных в список избирателей на момент окончания голосования]]</f>
        <v>1510</v>
      </c>
      <c r="J21" s="1">
        <v>1500</v>
      </c>
      <c r="K21" s="1">
        <v>0</v>
      </c>
      <c r="L21" s="1">
        <v>652</v>
      </c>
      <c r="M21" s="1">
        <v>13</v>
      </c>
      <c r="N21" s="3">
        <f t="shared" si="0"/>
        <v>44.039735099337747</v>
      </c>
      <c r="O21" s="3">
        <f t="shared" si="1"/>
        <v>0.86092715231788075</v>
      </c>
      <c r="P21" s="1">
        <v>835</v>
      </c>
      <c r="Q21" s="1">
        <v>13</v>
      </c>
      <c r="R21" s="1">
        <v>652</v>
      </c>
      <c r="S21" s="1">
        <f t="shared" si="2"/>
        <v>665</v>
      </c>
      <c r="T21" s="3">
        <f t="shared" si="3"/>
        <v>1.9548872180451127</v>
      </c>
      <c r="U21" s="1">
        <v>33</v>
      </c>
      <c r="V21" s="3">
        <f t="shared" si="4"/>
        <v>4.9624060150375939</v>
      </c>
      <c r="W21" s="1">
        <v>632</v>
      </c>
      <c r="X21" s="1">
        <v>0</v>
      </c>
      <c r="Y21" s="1">
        <v>0</v>
      </c>
      <c r="Z21" s="1">
        <v>172</v>
      </c>
      <c r="AA21" s="3">
        <f t="shared" si="5"/>
        <v>25.86466165413534</v>
      </c>
      <c r="AB21" s="1">
        <v>15</v>
      </c>
      <c r="AC21" s="3">
        <f t="shared" si="6"/>
        <v>2.255639097744361</v>
      </c>
      <c r="AD21" s="1">
        <v>54</v>
      </c>
      <c r="AE21" s="3">
        <f t="shared" si="7"/>
        <v>8.1203007518797001</v>
      </c>
      <c r="AF21" s="1">
        <v>34</v>
      </c>
      <c r="AG21" s="3">
        <f t="shared" si="8"/>
        <v>5.1127819548872182</v>
      </c>
      <c r="AH21" s="1">
        <v>216</v>
      </c>
      <c r="AI21" s="3">
        <f t="shared" si="9"/>
        <v>32.481203007518801</v>
      </c>
      <c r="AJ21" s="1">
        <v>56</v>
      </c>
      <c r="AK21" s="3">
        <f t="shared" si="10"/>
        <v>8.4210526315789469</v>
      </c>
      <c r="AL21" s="1">
        <v>23</v>
      </c>
      <c r="AM21" s="3">
        <f t="shared" si="11"/>
        <v>3.4586466165413534</v>
      </c>
      <c r="AN21" s="1">
        <v>5</v>
      </c>
      <c r="AO21" s="3">
        <f t="shared" si="12"/>
        <v>0.75187969924812026</v>
      </c>
      <c r="AP21" s="1">
        <v>5</v>
      </c>
      <c r="AQ21" s="3">
        <f t="shared" si="13"/>
        <v>0.75187969924812026</v>
      </c>
      <c r="AR21" s="1">
        <v>10</v>
      </c>
      <c r="AS21" s="3">
        <f t="shared" si="14"/>
        <v>1.5037593984962405</v>
      </c>
      <c r="AT21" s="1">
        <v>2</v>
      </c>
      <c r="AU21" s="3">
        <f t="shared" si="15"/>
        <v>0.3007518796992481</v>
      </c>
      <c r="AV21" s="1">
        <v>6</v>
      </c>
      <c r="AW21" s="3">
        <f t="shared" si="16"/>
        <v>0.90225563909774431</v>
      </c>
      <c r="AX21" s="1">
        <v>11</v>
      </c>
      <c r="AY21" s="3">
        <f t="shared" si="17"/>
        <v>1.6541353383458646</v>
      </c>
      <c r="AZ21" s="1">
        <v>23</v>
      </c>
      <c r="BA21" s="3">
        <f t="shared" si="18"/>
        <v>3.4586466165413534</v>
      </c>
      <c r="BB21" t="s">
        <v>209</v>
      </c>
      <c r="BD21"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1.6969696969696599</v>
      </c>
      <c r="BE21" s="13">
        <f>2*(Дума_партии[[#This Row],[5. Всероссийская политическая партия "ЕДИНАЯ РОССИЯ"]]-(AB$124/100)*Дума_партии[[#This Row],[Число действительных избирательных бюллетеней]])</f>
        <v>2.2399999999999523</v>
      </c>
      <c r="BF21" s="13">
        <f>(Дума_партии[[#This Row],[Вброс]]+Дума_партии[[#This Row],[Перекладывание]])/2</f>
        <v>1.9684848484848061</v>
      </c>
      <c r="BG21" s="13">
        <v>0</v>
      </c>
    </row>
    <row r="22" spans="1:59" x14ac:dyDescent="0.4">
      <c r="A22" s="1" t="s">
        <v>49</v>
      </c>
      <c r="B22" s="1" t="s">
        <v>50</v>
      </c>
      <c r="C22" s="1" t="s">
        <v>51</v>
      </c>
      <c r="D22" s="1" t="s">
        <v>102</v>
      </c>
      <c r="E22" s="1" t="s">
        <v>123</v>
      </c>
      <c r="F22" s="1">
        <f t="shared" ca="1" si="19"/>
        <v>1762</v>
      </c>
      <c r="G22" t="s">
        <v>228</v>
      </c>
      <c r="H22" s="1">
        <v>1585</v>
      </c>
      <c r="I22" s="1">
        <f>Дума_партии[[#This Row],[Число избирателей, внесенных в список избирателей на момент окончания голосования]]</f>
        <v>1585</v>
      </c>
      <c r="J22" s="1">
        <v>1500</v>
      </c>
      <c r="K22" s="1">
        <v>0</v>
      </c>
      <c r="L22" s="1">
        <v>645</v>
      </c>
      <c r="M22" s="1">
        <v>3</v>
      </c>
      <c r="N22" s="3">
        <f t="shared" si="0"/>
        <v>40.883280757097793</v>
      </c>
      <c r="O22" s="3">
        <f t="shared" si="1"/>
        <v>0.1892744479495268</v>
      </c>
      <c r="P22" s="1">
        <v>852</v>
      </c>
      <c r="Q22" s="1">
        <v>3</v>
      </c>
      <c r="R22" s="1">
        <v>645</v>
      </c>
      <c r="S22" s="1">
        <f t="shared" si="2"/>
        <v>648</v>
      </c>
      <c r="T22" s="3">
        <f t="shared" si="3"/>
        <v>0.46296296296296297</v>
      </c>
      <c r="U22" s="1">
        <v>30</v>
      </c>
      <c r="V22" s="3">
        <f t="shared" si="4"/>
        <v>4.6296296296296298</v>
      </c>
      <c r="W22" s="1">
        <v>618</v>
      </c>
      <c r="X22" s="1">
        <v>0</v>
      </c>
      <c r="Y22" s="1">
        <v>0</v>
      </c>
      <c r="Z22" s="1">
        <v>151</v>
      </c>
      <c r="AA22" s="3">
        <f t="shared" si="5"/>
        <v>23.302469135802468</v>
      </c>
      <c r="AB22" s="1">
        <v>7</v>
      </c>
      <c r="AC22" s="3">
        <f t="shared" si="6"/>
        <v>1.0802469135802468</v>
      </c>
      <c r="AD22" s="1">
        <v>58</v>
      </c>
      <c r="AE22" s="3">
        <f t="shared" si="7"/>
        <v>8.9506172839506171</v>
      </c>
      <c r="AF22" s="1">
        <v>53</v>
      </c>
      <c r="AG22" s="3">
        <f t="shared" si="8"/>
        <v>8.1790123456790127</v>
      </c>
      <c r="AH22" s="1">
        <v>217</v>
      </c>
      <c r="AI22" s="3">
        <f t="shared" si="9"/>
        <v>33.487654320987652</v>
      </c>
      <c r="AJ22" s="1">
        <v>52</v>
      </c>
      <c r="AK22" s="3">
        <f t="shared" si="10"/>
        <v>8.0246913580246915</v>
      </c>
      <c r="AL22" s="1">
        <v>17</v>
      </c>
      <c r="AM22" s="3">
        <f t="shared" si="11"/>
        <v>2.6234567901234569</v>
      </c>
      <c r="AN22" s="1">
        <v>5</v>
      </c>
      <c r="AO22" s="3">
        <f t="shared" si="12"/>
        <v>0.77160493827160492</v>
      </c>
      <c r="AP22" s="1">
        <v>9</v>
      </c>
      <c r="AQ22" s="3">
        <f t="shared" si="13"/>
        <v>1.3888888888888888</v>
      </c>
      <c r="AR22" s="1">
        <v>6</v>
      </c>
      <c r="AS22" s="3">
        <f t="shared" si="14"/>
        <v>0.92592592592592593</v>
      </c>
      <c r="AT22" s="1">
        <v>0</v>
      </c>
      <c r="AU22" s="3">
        <f t="shared" si="15"/>
        <v>0</v>
      </c>
      <c r="AV22" s="1">
        <v>6</v>
      </c>
      <c r="AW22" s="3">
        <f t="shared" si="16"/>
        <v>0.92592592592592593</v>
      </c>
      <c r="AX22" s="1">
        <v>8</v>
      </c>
      <c r="AY22" s="3">
        <f t="shared" si="17"/>
        <v>1.2345679012345678</v>
      </c>
      <c r="AZ22" s="1">
        <v>29</v>
      </c>
      <c r="BA22" s="3">
        <f t="shared" si="18"/>
        <v>4.4753086419753085</v>
      </c>
      <c r="BB22" t="s">
        <v>209</v>
      </c>
      <c r="BD22"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10.424242424242379</v>
      </c>
      <c r="BE22" s="13">
        <f>2*(Дума_партии[[#This Row],[5. Всероссийская политическая партия "ЕДИНАЯ РОССИЯ"]]-(AB$124/100)*Дума_партии[[#This Row],[Число действительных избирательных бюллетеней]])</f>
        <v>13.759999999999991</v>
      </c>
      <c r="BF22" s="13">
        <f>(Дума_партии[[#This Row],[Вброс]]+Дума_партии[[#This Row],[Перекладывание]])/2</f>
        <v>12.092121212121185</v>
      </c>
      <c r="BG22" s="13">
        <v>0</v>
      </c>
    </row>
    <row r="23" spans="1:59" x14ac:dyDescent="0.4">
      <c r="A23" s="1" t="s">
        <v>49</v>
      </c>
      <c r="B23" s="1" t="s">
        <v>50</v>
      </c>
      <c r="C23" s="1" t="s">
        <v>51</v>
      </c>
      <c r="D23" s="1" t="s">
        <v>102</v>
      </c>
      <c r="E23" s="1" t="s">
        <v>124</v>
      </c>
      <c r="F23" s="1">
        <f t="shared" ca="1" si="19"/>
        <v>1763</v>
      </c>
      <c r="G23" t="s">
        <v>228</v>
      </c>
      <c r="H23" s="1">
        <v>1364</v>
      </c>
      <c r="I23" s="1">
        <f>Дума_партии[[#This Row],[Число избирателей, внесенных в список избирателей на момент окончания голосования]]</f>
        <v>1364</v>
      </c>
      <c r="J23" s="1">
        <v>1300</v>
      </c>
      <c r="K23" s="1">
        <v>0</v>
      </c>
      <c r="L23" s="1">
        <v>485</v>
      </c>
      <c r="M23" s="1">
        <v>34</v>
      </c>
      <c r="N23" s="3">
        <f t="shared" si="0"/>
        <v>38.049853372434015</v>
      </c>
      <c r="O23" s="3">
        <f t="shared" si="1"/>
        <v>2.4926686217008798</v>
      </c>
      <c r="P23" s="1">
        <v>781</v>
      </c>
      <c r="Q23" s="1">
        <v>34</v>
      </c>
      <c r="R23" s="1">
        <v>485</v>
      </c>
      <c r="S23" s="1">
        <f t="shared" si="2"/>
        <v>519</v>
      </c>
      <c r="T23" s="3">
        <f t="shared" si="3"/>
        <v>6.5510597302504818</v>
      </c>
      <c r="U23" s="1">
        <v>24</v>
      </c>
      <c r="V23" s="3">
        <f t="shared" si="4"/>
        <v>4.6242774566473992</v>
      </c>
      <c r="W23" s="1">
        <v>495</v>
      </c>
      <c r="X23" s="1">
        <v>0</v>
      </c>
      <c r="Y23" s="1">
        <v>0</v>
      </c>
      <c r="Z23" s="1">
        <v>77</v>
      </c>
      <c r="AA23" s="3">
        <f t="shared" si="5"/>
        <v>14.836223506743737</v>
      </c>
      <c r="AB23" s="1">
        <v>3</v>
      </c>
      <c r="AC23" s="3">
        <f t="shared" si="6"/>
        <v>0.5780346820809249</v>
      </c>
      <c r="AD23" s="1">
        <v>43</v>
      </c>
      <c r="AE23" s="3">
        <f t="shared" si="7"/>
        <v>8.2851637764932562</v>
      </c>
      <c r="AF23" s="1">
        <v>24</v>
      </c>
      <c r="AG23" s="3">
        <f t="shared" si="8"/>
        <v>4.6242774566473992</v>
      </c>
      <c r="AH23" s="1">
        <v>252</v>
      </c>
      <c r="AI23" s="3">
        <f t="shared" si="9"/>
        <v>48.554913294797686</v>
      </c>
      <c r="AJ23" s="1">
        <v>29</v>
      </c>
      <c r="AK23" s="3">
        <f t="shared" si="10"/>
        <v>5.5876685934489405</v>
      </c>
      <c r="AL23" s="1">
        <v>10</v>
      </c>
      <c r="AM23" s="3">
        <f t="shared" si="11"/>
        <v>1.9267822736030829</v>
      </c>
      <c r="AN23" s="1">
        <v>2</v>
      </c>
      <c r="AO23" s="3">
        <f t="shared" si="12"/>
        <v>0.38535645472061658</v>
      </c>
      <c r="AP23" s="1">
        <v>4</v>
      </c>
      <c r="AQ23" s="3">
        <f t="shared" si="13"/>
        <v>0.77071290944123316</v>
      </c>
      <c r="AR23" s="1">
        <v>8</v>
      </c>
      <c r="AS23" s="3">
        <f t="shared" si="14"/>
        <v>1.5414258188824663</v>
      </c>
      <c r="AT23" s="1">
        <v>1</v>
      </c>
      <c r="AU23" s="3">
        <f t="shared" si="15"/>
        <v>0.19267822736030829</v>
      </c>
      <c r="AV23" s="1">
        <v>12</v>
      </c>
      <c r="AW23" s="3">
        <f t="shared" si="16"/>
        <v>2.3121387283236996</v>
      </c>
      <c r="AX23" s="1">
        <v>6</v>
      </c>
      <c r="AY23" s="3">
        <f t="shared" si="17"/>
        <v>1.1560693641618498</v>
      </c>
      <c r="AZ23" s="1">
        <v>24</v>
      </c>
      <c r="BA23" s="3">
        <f t="shared" si="18"/>
        <v>4.6242774566473992</v>
      </c>
      <c r="BB23" t="s">
        <v>209</v>
      </c>
      <c r="BD23"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126.8181818181818</v>
      </c>
      <c r="BE23" s="13">
        <f>2*(Дума_партии[[#This Row],[5. Всероссийская политическая партия "ЕДИНАЯ РОССИЯ"]]-(AB$124/100)*Дума_партии[[#This Row],[Число действительных избирательных бюллетеней]])</f>
        <v>167.39999999999998</v>
      </c>
      <c r="BF23" s="13">
        <f>(Дума_партии[[#This Row],[Вброс]]+Дума_партии[[#This Row],[Перекладывание]])/2</f>
        <v>147.1090909090909</v>
      </c>
      <c r="BG23" s="13">
        <v>0</v>
      </c>
    </row>
    <row r="24" spans="1:59" x14ac:dyDescent="0.4">
      <c r="A24" s="1" t="s">
        <v>49</v>
      </c>
      <c r="B24" s="1" t="s">
        <v>50</v>
      </c>
      <c r="C24" s="1" t="s">
        <v>51</v>
      </c>
      <c r="D24" s="1" t="s">
        <v>102</v>
      </c>
      <c r="E24" s="1" t="s">
        <v>125</v>
      </c>
      <c r="F24" s="1">
        <f t="shared" ca="1" si="19"/>
        <v>1764</v>
      </c>
      <c r="G24" t="s">
        <v>228</v>
      </c>
      <c r="H24" s="1">
        <v>2052</v>
      </c>
      <c r="I24" s="1">
        <f>Дума_партии[[#This Row],[Число избирателей, внесенных в список избирателей на момент окончания голосования]]</f>
        <v>2052</v>
      </c>
      <c r="J24" s="1">
        <v>2000</v>
      </c>
      <c r="K24" s="1">
        <v>0</v>
      </c>
      <c r="L24" s="1">
        <v>818</v>
      </c>
      <c r="M24" s="1">
        <v>15</v>
      </c>
      <c r="N24" s="3">
        <f t="shared" si="0"/>
        <v>40.594541910331387</v>
      </c>
      <c r="O24" s="3">
        <f t="shared" si="1"/>
        <v>0.73099415204678364</v>
      </c>
      <c r="P24" s="1">
        <v>1167</v>
      </c>
      <c r="Q24" s="1">
        <v>15</v>
      </c>
      <c r="R24" s="1">
        <v>818</v>
      </c>
      <c r="S24" s="1">
        <f t="shared" si="2"/>
        <v>833</v>
      </c>
      <c r="T24" s="3">
        <f t="shared" si="3"/>
        <v>1.8007202881152462</v>
      </c>
      <c r="U24" s="1">
        <v>0</v>
      </c>
      <c r="V24" s="3">
        <f t="shared" si="4"/>
        <v>0</v>
      </c>
      <c r="W24" s="1">
        <v>833</v>
      </c>
      <c r="X24" s="1">
        <v>0</v>
      </c>
      <c r="Y24" s="1">
        <v>0</v>
      </c>
      <c r="Z24" s="1">
        <v>77</v>
      </c>
      <c r="AA24" s="3">
        <f t="shared" si="5"/>
        <v>9.2436974789915958</v>
      </c>
      <c r="AB24" s="1">
        <v>0</v>
      </c>
      <c r="AC24" s="3">
        <f t="shared" si="6"/>
        <v>0</v>
      </c>
      <c r="AD24" s="1">
        <v>25</v>
      </c>
      <c r="AE24" s="3">
        <f t="shared" si="7"/>
        <v>3.0012004801920766</v>
      </c>
      <c r="AF24" s="1">
        <v>0</v>
      </c>
      <c r="AG24" s="3">
        <f t="shared" si="8"/>
        <v>0</v>
      </c>
      <c r="AH24" s="1">
        <v>681</v>
      </c>
      <c r="AI24" s="3">
        <f t="shared" si="9"/>
        <v>81.752701080432175</v>
      </c>
      <c r="AJ24" s="1">
        <v>0</v>
      </c>
      <c r="AK24" s="3">
        <f t="shared" si="10"/>
        <v>0</v>
      </c>
      <c r="AL24" s="1">
        <v>50</v>
      </c>
      <c r="AM24" s="3">
        <f t="shared" si="11"/>
        <v>6.0024009603841533</v>
      </c>
      <c r="AN24" s="1">
        <v>0</v>
      </c>
      <c r="AO24" s="3">
        <f t="shared" si="12"/>
        <v>0</v>
      </c>
      <c r="AP24" s="1">
        <v>0</v>
      </c>
      <c r="AQ24" s="3">
        <f t="shared" si="13"/>
        <v>0</v>
      </c>
      <c r="AR24" s="1">
        <v>0</v>
      </c>
      <c r="AS24" s="3">
        <f t="shared" si="14"/>
        <v>0</v>
      </c>
      <c r="AT24" s="1">
        <v>0</v>
      </c>
      <c r="AU24" s="3">
        <f t="shared" si="15"/>
        <v>0</v>
      </c>
      <c r="AV24" s="1">
        <v>0</v>
      </c>
      <c r="AW24" s="3">
        <f t="shared" si="16"/>
        <v>0</v>
      </c>
      <c r="AX24" s="1">
        <v>0</v>
      </c>
      <c r="AY24" s="3">
        <f t="shared" si="17"/>
        <v>0</v>
      </c>
      <c r="AZ24" s="1">
        <v>0</v>
      </c>
      <c r="BA24" s="3">
        <f t="shared" si="18"/>
        <v>0</v>
      </c>
      <c r="BB24" t="s">
        <v>209</v>
      </c>
      <c r="BD24"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602.69696969696975</v>
      </c>
      <c r="BE24" s="13">
        <f>2*(Дума_партии[[#This Row],[5. Всероссийская политическая партия "ЕДИНАЯ РОССИЯ"]]-(AB$124/100)*Дума_партии[[#This Row],[Число действительных избирательных бюллетеней]])</f>
        <v>795.56</v>
      </c>
      <c r="BF24" s="13">
        <f>(Дума_партии[[#This Row],[Вброс]]+Дума_партии[[#This Row],[Перекладывание]])/2</f>
        <v>699.12848484848485</v>
      </c>
      <c r="BG24" s="13">
        <v>0</v>
      </c>
    </row>
    <row r="25" spans="1:59" x14ac:dyDescent="0.4">
      <c r="A25" s="1" t="s">
        <v>49</v>
      </c>
      <c r="B25" s="1" t="s">
        <v>50</v>
      </c>
      <c r="C25" s="1" t="s">
        <v>51</v>
      </c>
      <c r="D25" s="1" t="s">
        <v>102</v>
      </c>
      <c r="E25" s="1" t="s">
        <v>126</v>
      </c>
      <c r="F25" s="1">
        <f t="shared" ca="1" si="19"/>
        <v>1765</v>
      </c>
      <c r="G25" s="1" t="s">
        <v>230</v>
      </c>
      <c r="H25" s="1">
        <v>877</v>
      </c>
      <c r="I25" s="1">
        <f>Дума_партии[[#This Row],[Число избирателей, внесенных в список избирателей на момент окончания голосования]]</f>
        <v>877</v>
      </c>
      <c r="J25" s="1">
        <v>800</v>
      </c>
      <c r="K25" s="1">
        <v>0</v>
      </c>
      <c r="L25" s="1">
        <v>288</v>
      </c>
      <c r="M25" s="1">
        <v>8</v>
      </c>
      <c r="N25" s="3">
        <f t="shared" si="0"/>
        <v>33.751425313568987</v>
      </c>
      <c r="O25" s="3">
        <f t="shared" si="1"/>
        <v>0.91220068415051314</v>
      </c>
      <c r="P25" s="1">
        <v>504</v>
      </c>
      <c r="Q25" s="1">
        <v>8</v>
      </c>
      <c r="R25" s="1">
        <v>288</v>
      </c>
      <c r="S25" s="1">
        <f t="shared" si="2"/>
        <v>296</v>
      </c>
      <c r="T25" s="3">
        <f t="shared" si="3"/>
        <v>2.7027027027027026</v>
      </c>
      <c r="U25" s="1">
        <v>63</v>
      </c>
      <c r="V25" s="3">
        <f t="shared" si="4"/>
        <v>21.283783783783782</v>
      </c>
      <c r="W25" s="1">
        <v>233</v>
      </c>
      <c r="X25" s="1">
        <v>0</v>
      </c>
      <c r="Y25" s="1">
        <v>0</v>
      </c>
      <c r="Z25" s="1">
        <v>13</v>
      </c>
      <c r="AA25" s="3">
        <f t="shared" si="5"/>
        <v>4.3918918918918921</v>
      </c>
      <c r="AB25" s="1">
        <v>0</v>
      </c>
      <c r="AC25" s="3">
        <f t="shared" si="6"/>
        <v>0</v>
      </c>
      <c r="AD25" s="1">
        <v>5</v>
      </c>
      <c r="AE25" s="3">
        <f t="shared" si="7"/>
        <v>1.6891891891891893</v>
      </c>
      <c r="AF25" s="1">
        <v>8</v>
      </c>
      <c r="AG25" s="3">
        <f t="shared" si="8"/>
        <v>2.7027027027027026</v>
      </c>
      <c r="AH25" s="1">
        <v>170</v>
      </c>
      <c r="AI25" s="3">
        <f t="shared" si="9"/>
        <v>57.432432432432435</v>
      </c>
      <c r="AJ25" s="1">
        <v>15</v>
      </c>
      <c r="AK25" s="3">
        <f t="shared" si="10"/>
        <v>5.0675675675675675</v>
      </c>
      <c r="AL25" s="1">
        <v>6</v>
      </c>
      <c r="AM25" s="3">
        <f t="shared" si="11"/>
        <v>2.0270270270270272</v>
      </c>
      <c r="AN25" s="1">
        <v>0</v>
      </c>
      <c r="AO25" s="3">
        <f t="shared" si="12"/>
        <v>0</v>
      </c>
      <c r="AP25" s="1">
        <v>4</v>
      </c>
      <c r="AQ25" s="3">
        <f t="shared" si="13"/>
        <v>1.3513513513513513</v>
      </c>
      <c r="AR25" s="1">
        <v>3</v>
      </c>
      <c r="AS25" s="3">
        <f t="shared" si="14"/>
        <v>1.0135135135135136</v>
      </c>
      <c r="AT25" s="1">
        <v>0</v>
      </c>
      <c r="AU25" s="3">
        <f t="shared" si="15"/>
        <v>0</v>
      </c>
      <c r="AV25" s="1">
        <v>1</v>
      </c>
      <c r="AW25" s="3">
        <f t="shared" si="16"/>
        <v>0.33783783783783783</v>
      </c>
      <c r="AX25" s="1">
        <v>4</v>
      </c>
      <c r="AY25" s="3">
        <f t="shared" si="17"/>
        <v>1.3513513513513513</v>
      </c>
      <c r="AZ25" s="1">
        <v>4</v>
      </c>
      <c r="BA25" s="3">
        <f t="shared" si="18"/>
        <v>1.3513513513513513</v>
      </c>
      <c r="BB25" t="s">
        <v>209</v>
      </c>
      <c r="BD25"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137.54545454545453</v>
      </c>
      <c r="BE25" s="13">
        <f>2*(Дума_партии[[#This Row],[5. Всероссийская политическая партия "ЕДИНАЯ РОССИЯ"]]-(AB$124/100)*Дума_партии[[#This Row],[Число действительных избирательных бюллетеней]])</f>
        <v>181.56</v>
      </c>
      <c r="BF25" s="13">
        <f>(Дума_партии[[#This Row],[Вброс]]+Дума_партии[[#This Row],[Перекладывание]])/2</f>
        <v>159.55272727272728</v>
      </c>
      <c r="BG25" s="13">
        <v>0</v>
      </c>
    </row>
    <row r="26" spans="1:59" x14ac:dyDescent="0.4">
      <c r="A26" s="1" t="s">
        <v>49</v>
      </c>
      <c r="B26" s="1" t="s">
        <v>50</v>
      </c>
      <c r="C26" s="1" t="s">
        <v>51</v>
      </c>
      <c r="D26" s="1" t="s">
        <v>102</v>
      </c>
      <c r="E26" s="1" t="s">
        <v>127</v>
      </c>
      <c r="F26" s="1">
        <f t="shared" ca="1" si="19"/>
        <v>1766</v>
      </c>
      <c r="G26" t="s">
        <v>228</v>
      </c>
      <c r="H26" s="1">
        <v>1117</v>
      </c>
      <c r="I26" s="1">
        <f>Дума_партии[[#This Row],[Число избирателей, внесенных в список избирателей на момент окончания голосования]]</f>
        <v>1117</v>
      </c>
      <c r="J26" s="1">
        <v>1100</v>
      </c>
      <c r="K26" s="1">
        <v>0</v>
      </c>
      <c r="L26" s="1">
        <v>402</v>
      </c>
      <c r="M26" s="1">
        <v>14</v>
      </c>
      <c r="N26" s="3">
        <f t="shared" si="0"/>
        <v>37.242614145031332</v>
      </c>
      <c r="O26" s="3">
        <f t="shared" si="1"/>
        <v>1.2533572068039391</v>
      </c>
      <c r="P26" s="1">
        <v>684</v>
      </c>
      <c r="Q26" s="1">
        <v>14</v>
      </c>
      <c r="R26" s="1">
        <v>401</v>
      </c>
      <c r="S26" s="1">
        <f t="shared" si="2"/>
        <v>415</v>
      </c>
      <c r="T26" s="3">
        <f t="shared" si="3"/>
        <v>3.3734939759036147</v>
      </c>
      <c r="U26" s="1">
        <v>23</v>
      </c>
      <c r="V26" s="3">
        <f t="shared" si="4"/>
        <v>5.5421686746987948</v>
      </c>
      <c r="W26" s="1">
        <v>392</v>
      </c>
      <c r="X26" s="1">
        <v>0</v>
      </c>
      <c r="Y26" s="1">
        <v>0</v>
      </c>
      <c r="Z26" s="1">
        <v>97</v>
      </c>
      <c r="AA26" s="3">
        <f t="shared" si="5"/>
        <v>23.373493975903614</v>
      </c>
      <c r="AB26" s="1">
        <v>2</v>
      </c>
      <c r="AC26" s="3">
        <f t="shared" si="6"/>
        <v>0.48192771084337349</v>
      </c>
      <c r="AD26" s="1">
        <v>31</v>
      </c>
      <c r="AE26" s="3">
        <f t="shared" si="7"/>
        <v>7.4698795180722888</v>
      </c>
      <c r="AF26" s="1">
        <v>29</v>
      </c>
      <c r="AG26" s="3">
        <f t="shared" si="8"/>
        <v>6.9879518072289155</v>
      </c>
      <c r="AH26" s="1">
        <v>158</v>
      </c>
      <c r="AI26" s="3">
        <f t="shared" si="9"/>
        <v>38.072289156626503</v>
      </c>
      <c r="AJ26" s="1">
        <v>23</v>
      </c>
      <c r="AK26" s="3">
        <f t="shared" si="10"/>
        <v>5.5421686746987948</v>
      </c>
      <c r="AL26" s="1">
        <v>7</v>
      </c>
      <c r="AM26" s="3">
        <f t="shared" si="11"/>
        <v>1.6867469879518073</v>
      </c>
      <c r="AN26" s="1">
        <v>2</v>
      </c>
      <c r="AO26" s="3">
        <f t="shared" si="12"/>
        <v>0.48192771084337349</v>
      </c>
      <c r="AP26" s="1">
        <v>3</v>
      </c>
      <c r="AQ26" s="3">
        <f t="shared" si="13"/>
        <v>0.72289156626506024</v>
      </c>
      <c r="AR26" s="1">
        <v>4</v>
      </c>
      <c r="AS26" s="3">
        <f t="shared" si="14"/>
        <v>0.96385542168674698</v>
      </c>
      <c r="AT26" s="1">
        <v>0</v>
      </c>
      <c r="AU26" s="3">
        <f t="shared" si="15"/>
        <v>0</v>
      </c>
      <c r="AV26" s="1">
        <v>3</v>
      </c>
      <c r="AW26" s="3">
        <f t="shared" si="16"/>
        <v>0.72289156626506024</v>
      </c>
      <c r="AX26" s="1">
        <v>9</v>
      </c>
      <c r="AY26" s="3">
        <f t="shared" si="17"/>
        <v>2.1686746987951806</v>
      </c>
      <c r="AZ26" s="1">
        <v>24</v>
      </c>
      <c r="BA26" s="3">
        <f t="shared" si="18"/>
        <v>5.7831325301204819</v>
      </c>
      <c r="BB26" t="s">
        <v>209</v>
      </c>
      <c r="BD26"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37.454545454545425</v>
      </c>
      <c r="BE26" s="13">
        <f>2*(Дума_партии[[#This Row],[5. Всероссийская политическая партия "ЕДИНАЯ РОССИЯ"]]-(AB$124/100)*Дума_партии[[#This Row],[Число действительных избирательных бюллетеней]])</f>
        <v>49.44</v>
      </c>
      <c r="BF26" s="13">
        <f>(Дума_партии[[#This Row],[Вброс]]+Дума_партии[[#This Row],[Перекладывание]])/2</f>
        <v>43.447272727272711</v>
      </c>
      <c r="BG26" s="13">
        <v>0</v>
      </c>
    </row>
    <row r="27" spans="1:59" x14ac:dyDescent="0.4">
      <c r="A27" s="1" t="s">
        <v>49</v>
      </c>
      <c r="B27" s="1" t="s">
        <v>50</v>
      </c>
      <c r="C27" s="1" t="s">
        <v>51</v>
      </c>
      <c r="D27" s="1" t="s">
        <v>102</v>
      </c>
      <c r="E27" s="1" t="s">
        <v>128</v>
      </c>
      <c r="F27" s="1">
        <f t="shared" ca="1" si="19"/>
        <v>1767</v>
      </c>
      <c r="G27" t="s">
        <v>228</v>
      </c>
      <c r="H27" s="1">
        <v>2848</v>
      </c>
      <c r="I27" s="1">
        <f>Дума_партии[[#This Row],[Число избирателей, внесенных в список избирателей на момент окончания голосования]]</f>
        <v>2848</v>
      </c>
      <c r="J27" s="1">
        <v>2900</v>
      </c>
      <c r="K27" s="1">
        <v>0</v>
      </c>
      <c r="L27" s="1">
        <v>1441</v>
      </c>
      <c r="M27" s="1">
        <v>0</v>
      </c>
      <c r="N27" s="3">
        <f t="shared" si="0"/>
        <v>50.596910112359552</v>
      </c>
      <c r="O27" s="3">
        <f t="shared" si="1"/>
        <v>0</v>
      </c>
      <c r="P27" s="1">
        <v>1459</v>
      </c>
      <c r="Q27" s="1">
        <v>0</v>
      </c>
      <c r="R27" s="1">
        <v>1441</v>
      </c>
      <c r="S27" s="1">
        <f t="shared" si="2"/>
        <v>1441</v>
      </c>
      <c r="T27" s="3">
        <f t="shared" si="3"/>
        <v>0</v>
      </c>
      <c r="U27" s="1">
        <v>50</v>
      </c>
      <c r="V27" s="3">
        <f t="shared" si="4"/>
        <v>3.4698126301179735</v>
      </c>
      <c r="W27" s="1">
        <v>1391</v>
      </c>
      <c r="X27" s="1">
        <v>0</v>
      </c>
      <c r="Y27" s="1">
        <v>0</v>
      </c>
      <c r="Z27" s="1">
        <v>220</v>
      </c>
      <c r="AA27" s="3">
        <f t="shared" si="5"/>
        <v>15.267175572519085</v>
      </c>
      <c r="AB27" s="1">
        <v>28</v>
      </c>
      <c r="AC27" s="3">
        <f t="shared" si="6"/>
        <v>1.9430950728660652</v>
      </c>
      <c r="AD27" s="1">
        <v>167</v>
      </c>
      <c r="AE27" s="3">
        <f t="shared" si="7"/>
        <v>11.589174184594032</v>
      </c>
      <c r="AF27" s="1">
        <v>87</v>
      </c>
      <c r="AG27" s="3">
        <f t="shared" si="8"/>
        <v>6.0374739764052743</v>
      </c>
      <c r="AH27" s="1">
        <v>671</v>
      </c>
      <c r="AI27" s="3">
        <f t="shared" si="9"/>
        <v>46.564885496183209</v>
      </c>
      <c r="AJ27" s="1">
        <v>59</v>
      </c>
      <c r="AK27" s="3">
        <f t="shared" si="10"/>
        <v>4.0943789035392086</v>
      </c>
      <c r="AL27" s="1">
        <v>48</v>
      </c>
      <c r="AM27" s="3">
        <f t="shared" si="11"/>
        <v>3.3310201249132545</v>
      </c>
      <c r="AN27" s="1">
        <v>13</v>
      </c>
      <c r="AO27" s="3">
        <f t="shared" si="12"/>
        <v>0.90215128383067311</v>
      </c>
      <c r="AP27" s="1">
        <v>12</v>
      </c>
      <c r="AQ27" s="3">
        <f t="shared" si="13"/>
        <v>0.83275503122831362</v>
      </c>
      <c r="AR27" s="1">
        <v>29</v>
      </c>
      <c r="AS27" s="3">
        <f t="shared" si="14"/>
        <v>2.0124913254684249</v>
      </c>
      <c r="AT27" s="1">
        <v>3</v>
      </c>
      <c r="AU27" s="3">
        <f t="shared" si="15"/>
        <v>0.20818875780707841</v>
      </c>
      <c r="AV27" s="1">
        <v>16</v>
      </c>
      <c r="AW27" s="3">
        <f t="shared" si="16"/>
        <v>1.1103400416377516</v>
      </c>
      <c r="AX27" s="1">
        <v>8</v>
      </c>
      <c r="AY27" s="3">
        <f t="shared" si="17"/>
        <v>0.55517002081887579</v>
      </c>
      <c r="AZ27" s="1">
        <v>30</v>
      </c>
      <c r="BA27" s="3">
        <f t="shared" si="18"/>
        <v>2.0818875780707842</v>
      </c>
      <c r="BB27" t="s">
        <v>209</v>
      </c>
      <c r="BD27"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300.09090909090901</v>
      </c>
      <c r="BE27" s="13">
        <f>2*(Дума_партии[[#This Row],[5. Всероссийская политическая партия "ЕДИНАЯ РОССИЯ"]]-(AB$124/100)*Дума_партии[[#This Row],[Число действительных избирательных бюллетеней]])</f>
        <v>396.11999999999989</v>
      </c>
      <c r="BF27" s="13">
        <f>(Дума_партии[[#This Row],[Вброс]]+Дума_партии[[#This Row],[Перекладывание]])/2</f>
        <v>348.10545454545445</v>
      </c>
      <c r="BG27" s="13">
        <v>0</v>
      </c>
    </row>
    <row r="28" spans="1:59" x14ac:dyDescent="0.4">
      <c r="A28" s="1" t="s">
        <v>49</v>
      </c>
      <c r="B28" s="1" t="s">
        <v>50</v>
      </c>
      <c r="C28" s="1" t="s">
        <v>51</v>
      </c>
      <c r="D28" s="1" t="s">
        <v>102</v>
      </c>
      <c r="E28" s="1" t="s">
        <v>129</v>
      </c>
      <c r="F28" s="1">
        <f t="shared" ca="1" si="19"/>
        <v>1768</v>
      </c>
      <c r="G28" t="s">
        <v>228</v>
      </c>
      <c r="H28" s="1">
        <v>2262</v>
      </c>
      <c r="I28" s="1">
        <f>Дума_партии[[#This Row],[Число избирателей, внесенных в список избирателей на момент окончания голосования]]</f>
        <v>2262</v>
      </c>
      <c r="J28" s="1">
        <v>3000</v>
      </c>
      <c r="K28" s="1">
        <v>0</v>
      </c>
      <c r="L28" s="1">
        <v>750</v>
      </c>
      <c r="M28" s="1">
        <v>799</v>
      </c>
      <c r="N28" s="3">
        <f t="shared" si="0"/>
        <v>68.47922192749779</v>
      </c>
      <c r="O28" s="3">
        <f t="shared" si="1"/>
        <v>35.322723253757736</v>
      </c>
      <c r="P28" s="1">
        <v>1451</v>
      </c>
      <c r="Q28" s="1">
        <v>799</v>
      </c>
      <c r="R28" s="1">
        <v>750</v>
      </c>
      <c r="S28" s="1">
        <f t="shared" si="2"/>
        <v>1549</v>
      </c>
      <c r="T28" s="3">
        <f t="shared" si="3"/>
        <v>51.581665590703679</v>
      </c>
      <c r="U28" s="1">
        <v>27</v>
      </c>
      <c r="V28" s="3">
        <f t="shared" si="4"/>
        <v>1.7430600387346675</v>
      </c>
      <c r="W28" s="1">
        <v>1522</v>
      </c>
      <c r="X28" s="1">
        <v>0</v>
      </c>
      <c r="Y28" s="1">
        <v>0</v>
      </c>
      <c r="Z28" s="1">
        <v>150</v>
      </c>
      <c r="AA28" s="3">
        <f t="shared" si="5"/>
        <v>9.6836668818592635</v>
      </c>
      <c r="AB28" s="1">
        <v>11</v>
      </c>
      <c r="AC28" s="3">
        <f t="shared" si="6"/>
        <v>0.71013557133634608</v>
      </c>
      <c r="AD28" s="1">
        <v>86</v>
      </c>
      <c r="AE28" s="3">
        <f t="shared" si="7"/>
        <v>5.5519690122659782</v>
      </c>
      <c r="AF28" s="1">
        <v>46</v>
      </c>
      <c r="AG28" s="3">
        <f t="shared" si="8"/>
        <v>2.9696578437701744</v>
      </c>
      <c r="AH28" s="1">
        <v>1082</v>
      </c>
      <c r="AI28" s="3">
        <f t="shared" si="9"/>
        <v>69.851517107811489</v>
      </c>
      <c r="AJ28" s="1">
        <v>65</v>
      </c>
      <c r="AK28" s="3">
        <f t="shared" si="10"/>
        <v>4.196255648805681</v>
      </c>
      <c r="AL28" s="1">
        <v>10</v>
      </c>
      <c r="AM28" s="3">
        <f t="shared" si="11"/>
        <v>0.64557779212395094</v>
      </c>
      <c r="AN28" s="1">
        <v>3</v>
      </c>
      <c r="AO28" s="3">
        <f t="shared" si="12"/>
        <v>0.19367333763718528</v>
      </c>
      <c r="AP28" s="1">
        <v>7</v>
      </c>
      <c r="AQ28" s="3">
        <f t="shared" si="13"/>
        <v>0.45190445448676564</v>
      </c>
      <c r="AR28" s="1">
        <v>18</v>
      </c>
      <c r="AS28" s="3">
        <f t="shared" si="14"/>
        <v>1.1620400258231116</v>
      </c>
      <c r="AT28" s="1">
        <v>0</v>
      </c>
      <c r="AU28" s="3">
        <f t="shared" si="15"/>
        <v>0</v>
      </c>
      <c r="AV28" s="1">
        <v>4</v>
      </c>
      <c r="AW28" s="3">
        <f t="shared" si="16"/>
        <v>0.25823111684958039</v>
      </c>
      <c r="AX28" s="1">
        <v>8</v>
      </c>
      <c r="AY28" s="3">
        <f t="shared" si="17"/>
        <v>0.51646223369916078</v>
      </c>
      <c r="AZ28" s="1">
        <v>32</v>
      </c>
      <c r="BA28" s="3">
        <f t="shared" si="18"/>
        <v>2.0658489347966431</v>
      </c>
      <c r="BB28" t="s">
        <v>209</v>
      </c>
      <c r="BD28"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855.33333333333326</v>
      </c>
      <c r="BE28" s="13">
        <f>2*(Дума_партии[[#This Row],[5. Всероссийская политическая партия "ЕДИНАЯ РОССИЯ"]]-(AB$124/100)*Дума_партии[[#This Row],[Число действительных избирательных бюллетеней]])</f>
        <v>1129.04</v>
      </c>
      <c r="BF28" s="13">
        <f>(Дума_партии[[#This Row],[Вброс]]+Дума_партии[[#This Row],[Перекладывание]])/2</f>
        <v>992.18666666666661</v>
      </c>
      <c r="BG28" s="13">
        <v>0</v>
      </c>
    </row>
    <row r="29" spans="1:59" x14ac:dyDescent="0.4">
      <c r="A29" s="1" t="s">
        <v>49</v>
      </c>
      <c r="B29" s="1" t="s">
        <v>50</v>
      </c>
      <c r="C29" s="1" t="s">
        <v>51</v>
      </c>
      <c r="D29" s="1" t="s">
        <v>102</v>
      </c>
      <c r="E29" s="1" t="s">
        <v>130</v>
      </c>
      <c r="F29" s="1">
        <f t="shared" ca="1" si="19"/>
        <v>1769</v>
      </c>
      <c r="G29" t="s">
        <v>228</v>
      </c>
      <c r="H29" s="1">
        <v>1797</v>
      </c>
      <c r="I29" s="1">
        <f>Дума_партии[[#This Row],[Число избирателей, внесенных в список избирателей на момент окончания голосования]]</f>
        <v>1797</v>
      </c>
      <c r="J29" s="1">
        <v>2500</v>
      </c>
      <c r="K29" s="1">
        <v>0</v>
      </c>
      <c r="L29" s="1">
        <v>494</v>
      </c>
      <c r="M29" s="1">
        <v>563</v>
      </c>
      <c r="N29" s="3">
        <f t="shared" si="0"/>
        <v>58.820255982192542</v>
      </c>
      <c r="O29" s="3">
        <f t="shared" si="1"/>
        <v>31.329994435169727</v>
      </c>
      <c r="P29" s="1">
        <v>1443</v>
      </c>
      <c r="Q29" s="1">
        <v>563</v>
      </c>
      <c r="R29" s="1">
        <v>494</v>
      </c>
      <c r="S29" s="1">
        <f t="shared" si="2"/>
        <v>1057</v>
      </c>
      <c r="T29" s="3">
        <f t="shared" si="3"/>
        <v>53.263954588457899</v>
      </c>
      <c r="U29" s="1">
        <v>29</v>
      </c>
      <c r="V29" s="3">
        <f t="shared" si="4"/>
        <v>2.7436140018921478</v>
      </c>
      <c r="W29" s="1">
        <v>1028</v>
      </c>
      <c r="X29" s="1">
        <v>0</v>
      </c>
      <c r="Y29" s="1">
        <v>0</v>
      </c>
      <c r="Z29" s="1">
        <v>100</v>
      </c>
      <c r="AA29" s="3">
        <f t="shared" si="5"/>
        <v>9.460737937559129</v>
      </c>
      <c r="AB29" s="1">
        <v>13</v>
      </c>
      <c r="AC29" s="3">
        <f t="shared" si="6"/>
        <v>1.2298959318826868</v>
      </c>
      <c r="AD29" s="1">
        <v>73</v>
      </c>
      <c r="AE29" s="3">
        <f t="shared" si="7"/>
        <v>6.9063386944181646</v>
      </c>
      <c r="AF29" s="1">
        <v>39</v>
      </c>
      <c r="AG29" s="3">
        <f t="shared" si="8"/>
        <v>3.6896877956480605</v>
      </c>
      <c r="AH29" s="1">
        <v>674</v>
      </c>
      <c r="AI29" s="3">
        <f t="shared" si="9"/>
        <v>63.765373699148533</v>
      </c>
      <c r="AJ29" s="1">
        <v>29</v>
      </c>
      <c r="AK29" s="3">
        <f t="shared" si="10"/>
        <v>2.7436140018921478</v>
      </c>
      <c r="AL29" s="1">
        <v>21</v>
      </c>
      <c r="AM29" s="3">
        <f t="shared" si="11"/>
        <v>1.9867549668874172</v>
      </c>
      <c r="AN29" s="1">
        <v>7</v>
      </c>
      <c r="AO29" s="3">
        <f t="shared" si="12"/>
        <v>0.66225165562913912</v>
      </c>
      <c r="AP29" s="1">
        <v>9</v>
      </c>
      <c r="AQ29" s="3">
        <f t="shared" si="13"/>
        <v>0.85146641438032167</v>
      </c>
      <c r="AR29" s="1">
        <v>28</v>
      </c>
      <c r="AS29" s="3">
        <f t="shared" si="14"/>
        <v>2.6490066225165565</v>
      </c>
      <c r="AT29" s="1">
        <v>2</v>
      </c>
      <c r="AU29" s="3">
        <f t="shared" si="15"/>
        <v>0.1892147587511826</v>
      </c>
      <c r="AV29" s="1">
        <v>4</v>
      </c>
      <c r="AW29" s="3">
        <f t="shared" si="16"/>
        <v>0.3784295175023652</v>
      </c>
      <c r="AX29" s="1">
        <v>7</v>
      </c>
      <c r="AY29" s="3">
        <f t="shared" si="17"/>
        <v>0.66225165562913912</v>
      </c>
      <c r="AZ29" s="1">
        <v>22</v>
      </c>
      <c r="BA29" s="3">
        <f t="shared" si="18"/>
        <v>2.0813623462630084</v>
      </c>
      <c r="BB29" t="s">
        <v>209</v>
      </c>
      <c r="BD29"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491.63636363636363</v>
      </c>
      <c r="BE29" s="13">
        <f>2*(Дума_партии[[#This Row],[5. Всероссийская политическая партия "ЕДИНАЯ РОССИЯ"]]-(AB$124/100)*Дума_партии[[#This Row],[Число действительных избирательных бюллетеней]])</f>
        <v>648.95999999999992</v>
      </c>
      <c r="BF29" s="13">
        <f>(Дума_партии[[#This Row],[Вброс]]+Дума_партии[[#This Row],[Перекладывание]])/2</f>
        <v>570.29818181818177</v>
      </c>
      <c r="BG29" s="13">
        <v>0</v>
      </c>
    </row>
    <row r="30" spans="1:59" x14ac:dyDescent="0.4">
      <c r="A30" s="1" t="s">
        <v>49</v>
      </c>
      <c r="B30" s="1" t="s">
        <v>50</v>
      </c>
      <c r="C30" s="1" t="s">
        <v>51</v>
      </c>
      <c r="D30" s="1" t="s">
        <v>102</v>
      </c>
      <c r="E30" s="1" t="s">
        <v>131</v>
      </c>
      <c r="F30" s="1">
        <f t="shared" ca="1" si="19"/>
        <v>1770</v>
      </c>
      <c r="G30" t="s">
        <v>228</v>
      </c>
      <c r="H30" s="1">
        <v>1810</v>
      </c>
      <c r="I30" s="1">
        <f>Дума_партии[[#This Row],[Число избирателей, внесенных в список избирателей на момент окончания голосования]]</f>
        <v>1810</v>
      </c>
      <c r="J30" s="1">
        <v>2500</v>
      </c>
      <c r="K30" s="1">
        <v>0</v>
      </c>
      <c r="L30" s="1">
        <v>638</v>
      </c>
      <c r="M30" s="1">
        <v>343</v>
      </c>
      <c r="N30" s="3">
        <f t="shared" si="0"/>
        <v>54.19889502762431</v>
      </c>
      <c r="O30" s="3">
        <f t="shared" si="1"/>
        <v>18.950276243093924</v>
      </c>
      <c r="P30" s="1">
        <v>1519</v>
      </c>
      <c r="Q30" s="1">
        <v>343</v>
      </c>
      <c r="R30" s="1">
        <v>638</v>
      </c>
      <c r="S30" s="1">
        <f t="shared" si="2"/>
        <v>981</v>
      </c>
      <c r="T30" s="3">
        <f t="shared" si="3"/>
        <v>34.964322120285424</v>
      </c>
      <c r="U30" s="1">
        <v>43</v>
      </c>
      <c r="V30" s="3">
        <f t="shared" si="4"/>
        <v>4.3832823649337413</v>
      </c>
      <c r="W30" s="1">
        <v>938</v>
      </c>
      <c r="X30" s="1">
        <v>0</v>
      </c>
      <c r="Y30" s="1">
        <v>0</v>
      </c>
      <c r="Z30" s="1">
        <v>145</v>
      </c>
      <c r="AA30" s="3">
        <f t="shared" si="5"/>
        <v>14.780835881753314</v>
      </c>
      <c r="AB30" s="1">
        <v>13</v>
      </c>
      <c r="AC30" s="3">
        <f t="shared" si="6"/>
        <v>1.3251783893985729</v>
      </c>
      <c r="AD30" s="1">
        <v>100</v>
      </c>
      <c r="AE30" s="3">
        <f t="shared" si="7"/>
        <v>10.193679918450561</v>
      </c>
      <c r="AF30" s="1">
        <v>45</v>
      </c>
      <c r="AG30" s="3">
        <f t="shared" si="8"/>
        <v>4.5871559633027523</v>
      </c>
      <c r="AH30" s="1">
        <v>500</v>
      </c>
      <c r="AI30" s="3">
        <f t="shared" si="9"/>
        <v>50.968399592252801</v>
      </c>
      <c r="AJ30" s="1">
        <v>44</v>
      </c>
      <c r="AK30" s="3">
        <f t="shared" si="10"/>
        <v>4.4852191641182468</v>
      </c>
      <c r="AL30" s="1">
        <v>15</v>
      </c>
      <c r="AM30" s="3">
        <f t="shared" si="11"/>
        <v>1.5290519877675841</v>
      </c>
      <c r="AN30" s="1">
        <v>1</v>
      </c>
      <c r="AO30" s="3">
        <f t="shared" si="12"/>
        <v>0.1019367991845056</v>
      </c>
      <c r="AP30" s="1">
        <v>6</v>
      </c>
      <c r="AQ30" s="3">
        <f t="shared" si="13"/>
        <v>0.6116207951070336</v>
      </c>
      <c r="AR30" s="1">
        <v>18</v>
      </c>
      <c r="AS30" s="3">
        <f t="shared" si="14"/>
        <v>1.834862385321101</v>
      </c>
      <c r="AT30" s="1">
        <v>1</v>
      </c>
      <c r="AU30" s="3">
        <f t="shared" si="15"/>
        <v>0.1019367991845056</v>
      </c>
      <c r="AV30" s="1">
        <v>7</v>
      </c>
      <c r="AW30" s="3">
        <f t="shared" si="16"/>
        <v>0.7135575942915392</v>
      </c>
      <c r="AX30" s="1">
        <v>9</v>
      </c>
      <c r="AY30" s="3">
        <f t="shared" si="17"/>
        <v>0.91743119266055051</v>
      </c>
      <c r="AZ30" s="1">
        <v>34</v>
      </c>
      <c r="BA30" s="3">
        <f t="shared" si="18"/>
        <v>3.4658511722731906</v>
      </c>
      <c r="BB30" t="s">
        <v>209</v>
      </c>
      <c r="BD30"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274.36363636363632</v>
      </c>
      <c r="BE30" s="13">
        <f>2*(Дума_партии[[#This Row],[5. Всероссийская политическая партия "ЕДИНАЯ РОССИЯ"]]-(AB$124/100)*Дума_партии[[#This Row],[Число действительных избирательных бюллетеней]])</f>
        <v>362.15999999999997</v>
      </c>
      <c r="BF30" s="13">
        <f>(Дума_партии[[#This Row],[Вброс]]+Дума_партии[[#This Row],[Перекладывание]])/2</f>
        <v>318.26181818181817</v>
      </c>
      <c r="BG30" s="13">
        <v>0</v>
      </c>
    </row>
    <row r="31" spans="1:59" x14ac:dyDescent="0.4">
      <c r="A31" s="1" t="s">
        <v>49</v>
      </c>
      <c r="B31" s="1" t="s">
        <v>50</v>
      </c>
      <c r="C31" s="1" t="s">
        <v>51</v>
      </c>
      <c r="D31" s="1" t="s">
        <v>102</v>
      </c>
      <c r="E31" s="1" t="s">
        <v>132</v>
      </c>
      <c r="F31" s="1">
        <f t="shared" ca="1" si="19"/>
        <v>1771</v>
      </c>
      <c r="G31" t="s">
        <v>228</v>
      </c>
      <c r="H31" s="1">
        <v>1197</v>
      </c>
      <c r="I31" s="1">
        <f>Дума_партии[[#This Row],[Число избирателей, внесенных в список избирателей на момент окончания голосования]]</f>
        <v>1197</v>
      </c>
      <c r="J31" s="1">
        <v>1200</v>
      </c>
      <c r="K31" s="1">
        <v>0</v>
      </c>
      <c r="L31" s="1">
        <v>434</v>
      </c>
      <c r="M31" s="1">
        <v>8</v>
      </c>
      <c r="N31" s="3">
        <f t="shared" si="0"/>
        <v>36.925647451963243</v>
      </c>
      <c r="O31" s="3">
        <f t="shared" si="1"/>
        <v>0.66833751044277356</v>
      </c>
      <c r="P31" s="1">
        <v>758</v>
      </c>
      <c r="Q31" s="1">
        <v>8</v>
      </c>
      <c r="R31" s="1">
        <v>434</v>
      </c>
      <c r="S31" s="1">
        <f t="shared" si="2"/>
        <v>442</v>
      </c>
      <c r="T31" s="3">
        <f t="shared" si="3"/>
        <v>1.8099547511312217</v>
      </c>
      <c r="U31" s="1">
        <v>16</v>
      </c>
      <c r="V31" s="3">
        <f t="shared" si="4"/>
        <v>3.6199095022624435</v>
      </c>
      <c r="W31" s="1">
        <v>426</v>
      </c>
      <c r="X31" s="1">
        <v>0</v>
      </c>
      <c r="Y31" s="1">
        <v>0</v>
      </c>
      <c r="Z31" s="1">
        <v>102</v>
      </c>
      <c r="AA31" s="3">
        <f t="shared" si="5"/>
        <v>23.076923076923077</v>
      </c>
      <c r="AB31" s="1">
        <v>13</v>
      </c>
      <c r="AC31" s="3">
        <f t="shared" si="6"/>
        <v>2.9411764705882355</v>
      </c>
      <c r="AD31" s="1">
        <v>39</v>
      </c>
      <c r="AE31" s="3">
        <f t="shared" si="7"/>
        <v>8.8235294117647065</v>
      </c>
      <c r="AF31" s="1">
        <v>33</v>
      </c>
      <c r="AG31" s="3">
        <f t="shared" si="8"/>
        <v>7.4660633484162897</v>
      </c>
      <c r="AH31" s="1">
        <v>156</v>
      </c>
      <c r="AI31" s="3">
        <f t="shared" si="9"/>
        <v>35.294117647058826</v>
      </c>
      <c r="AJ31" s="1">
        <v>32</v>
      </c>
      <c r="AK31" s="3">
        <f t="shared" si="10"/>
        <v>7.2398190045248869</v>
      </c>
      <c r="AL31" s="1">
        <v>3</v>
      </c>
      <c r="AM31" s="3">
        <f t="shared" si="11"/>
        <v>0.67873303167420818</v>
      </c>
      <c r="AN31" s="1">
        <v>3</v>
      </c>
      <c r="AO31" s="3">
        <f t="shared" si="12"/>
        <v>0.67873303167420818</v>
      </c>
      <c r="AP31" s="1">
        <v>5</v>
      </c>
      <c r="AQ31" s="3">
        <f t="shared" si="13"/>
        <v>1.1312217194570136</v>
      </c>
      <c r="AR31" s="1">
        <v>9</v>
      </c>
      <c r="AS31" s="3">
        <f t="shared" si="14"/>
        <v>2.0361990950226243</v>
      </c>
      <c r="AT31" s="1">
        <v>0</v>
      </c>
      <c r="AU31" s="3">
        <f t="shared" si="15"/>
        <v>0</v>
      </c>
      <c r="AV31" s="1">
        <v>2</v>
      </c>
      <c r="AW31" s="3">
        <f t="shared" si="16"/>
        <v>0.45248868778280543</v>
      </c>
      <c r="AX31" s="1">
        <v>4</v>
      </c>
      <c r="AY31" s="3">
        <f t="shared" si="17"/>
        <v>0.90497737556561086</v>
      </c>
      <c r="AZ31" s="1">
        <v>25</v>
      </c>
      <c r="BA31" s="3">
        <f t="shared" si="18"/>
        <v>5.6561085972850682</v>
      </c>
      <c r="BB31" t="s">
        <v>209</v>
      </c>
      <c r="BD31"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16.909090909090878</v>
      </c>
      <c r="BE31" s="13">
        <f>2*(Дума_партии[[#This Row],[5. Всероссийская политическая партия "ЕДИНАЯ РОССИЯ"]]-(AB$124/100)*Дума_партии[[#This Row],[Число действительных избирательных бюллетеней]])</f>
        <v>22.319999999999993</v>
      </c>
      <c r="BF31" s="13">
        <f>(Дума_партии[[#This Row],[Вброс]]+Дума_партии[[#This Row],[Перекладывание]])/2</f>
        <v>19.614545454545436</v>
      </c>
      <c r="BG31" s="13">
        <v>0</v>
      </c>
    </row>
    <row r="32" spans="1:59" x14ac:dyDescent="0.4">
      <c r="A32" s="1" t="s">
        <v>49</v>
      </c>
      <c r="B32" s="1" t="s">
        <v>50</v>
      </c>
      <c r="C32" s="1" t="s">
        <v>51</v>
      </c>
      <c r="D32" s="1" t="s">
        <v>102</v>
      </c>
      <c r="E32" s="1" t="s">
        <v>133</v>
      </c>
      <c r="F32" s="1">
        <f t="shared" ca="1" si="19"/>
        <v>1772</v>
      </c>
      <c r="G32" t="s">
        <v>228</v>
      </c>
      <c r="H32" s="1">
        <v>2083</v>
      </c>
      <c r="I32" s="1">
        <f>Дума_партии[[#This Row],[Число избирателей, внесенных в список избирателей на момент окончания голосования]]</f>
        <v>2083</v>
      </c>
      <c r="J32" s="1">
        <v>2000</v>
      </c>
      <c r="K32" s="1">
        <v>0</v>
      </c>
      <c r="L32" s="1">
        <v>1266</v>
      </c>
      <c r="M32" s="1">
        <v>250</v>
      </c>
      <c r="N32" s="3">
        <f t="shared" si="0"/>
        <v>72.779644743158912</v>
      </c>
      <c r="O32" s="3">
        <f t="shared" si="1"/>
        <v>12.00192030724916</v>
      </c>
      <c r="P32" s="1">
        <v>484</v>
      </c>
      <c r="Q32" s="1">
        <v>250</v>
      </c>
      <c r="R32" s="1">
        <v>1258</v>
      </c>
      <c r="S32" s="1">
        <f t="shared" si="2"/>
        <v>1508</v>
      </c>
      <c r="T32" s="3">
        <f t="shared" si="3"/>
        <v>16.578249336870027</v>
      </c>
      <c r="U32" s="1">
        <v>42</v>
      </c>
      <c r="V32" s="3">
        <f t="shared" si="4"/>
        <v>2.7851458885941645</v>
      </c>
      <c r="W32" s="1">
        <v>1466</v>
      </c>
      <c r="X32" s="1">
        <v>0</v>
      </c>
      <c r="Y32" s="1">
        <v>0</v>
      </c>
      <c r="Z32" s="1">
        <v>204</v>
      </c>
      <c r="AA32" s="3">
        <f t="shared" si="5"/>
        <v>13.527851458885941</v>
      </c>
      <c r="AB32" s="1">
        <v>22</v>
      </c>
      <c r="AC32" s="3">
        <f t="shared" si="6"/>
        <v>1.4588859416445623</v>
      </c>
      <c r="AD32" s="1">
        <v>170</v>
      </c>
      <c r="AE32" s="3">
        <f t="shared" si="7"/>
        <v>11.273209549071618</v>
      </c>
      <c r="AF32" s="1">
        <v>71</v>
      </c>
      <c r="AG32" s="3">
        <f t="shared" si="8"/>
        <v>4.7082228116710878</v>
      </c>
      <c r="AH32" s="1">
        <v>837</v>
      </c>
      <c r="AI32" s="3">
        <f t="shared" si="9"/>
        <v>55.50397877984085</v>
      </c>
      <c r="AJ32" s="1">
        <v>57</v>
      </c>
      <c r="AK32" s="3">
        <f t="shared" si="10"/>
        <v>3.7798408488063662</v>
      </c>
      <c r="AL32" s="1">
        <v>30</v>
      </c>
      <c r="AM32" s="3">
        <f t="shared" si="11"/>
        <v>1.9893899204244032</v>
      </c>
      <c r="AN32" s="1">
        <v>3</v>
      </c>
      <c r="AO32" s="3">
        <f t="shared" si="12"/>
        <v>0.19893899204244031</v>
      </c>
      <c r="AP32" s="1">
        <v>9</v>
      </c>
      <c r="AQ32" s="3">
        <f t="shared" si="13"/>
        <v>0.59681697612732099</v>
      </c>
      <c r="AR32" s="1">
        <v>15</v>
      </c>
      <c r="AS32" s="3">
        <f t="shared" si="14"/>
        <v>0.99469496021220161</v>
      </c>
      <c r="AT32" s="1">
        <v>2</v>
      </c>
      <c r="AU32" s="3">
        <f t="shared" si="15"/>
        <v>0.13262599469496023</v>
      </c>
      <c r="AV32" s="1">
        <v>11</v>
      </c>
      <c r="AW32" s="3">
        <f t="shared" si="16"/>
        <v>0.72944297082228116</v>
      </c>
      <c r="AX32" s="1">
        <v>8</v>
      </c>
      <c r="AY32" s="3">
        <f t="shared" si="17"/>
        <v>0.5305039787798409</v>
      </c>
      <c r="AZ32" s="1">
        <v>27</v>
      </c>
      <c r="BA32" s="3">
        <f t="shared" si="18"/>
        <v>1.790450928381963</v>
      </c>
      <c r="BB32" t="s">
        <v>209</v>
      </c>
      <c r="BD32"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512.96969696969688</v>
      </c>
      <c r="BE32" s="13">
        <f>2*(Дума_партии[[#This Row],[5. Всероссийская политическая партия "ЕДИНАЯ РОССИЯ"]]-(AB$124/100)*Дума_партии[[#This Row],[Число действительных избирательных бюллетеней]])</f>
        <v>677.11999999999989</v>
      </c>
      <c r="BF32" s="13">
        <f>(Дума_партии[[#This Row],[Вброс]]+Дума_партии[[#This Row],[Перекладывание]])/2</f>
        <v>595.04484848484844</v>
      </c>
      <c r="BG32" s="13">
        <v>0</v>
      </c>
    </row>
    <row r="33" spans="1:59" x14ac:dyDescent="0.4">
      <c r="A33" s="1" t="s">
        <v>49</v>
      </c>
      <c r="B33" s="1" t="s">
        <v>50</v>
      </c>
      <c r="C33" s="1" t="s">
        <v>51</v>
      </c>
      <c r="D33" s="1" t="s">
        <v>102</v>
      </c>
      <c r="E33" s="1" t="s">
        <v>134</v>
      </c>
      <c r="F33" s="1">
        <f t="shared" ca="1" si="19"/>
        <v>1773</v>
      </c>
      <c r="G33" t="s">
        <v>228</v>
      </c>
      <c r="H33" s="1">
        <v>1108</v>
      </c>
      <c r="I33" s="1">
        <f>Дума_партии[[#This Row],[Число избирателей, внесенных в список избирателей на момент окончания голосования]]</f>
        <v>1108</v>
      </c>
      <c r="J33" s="1">
        <v>1100</v>
      </c>
      <c r="K33" s="1">
        <v>0</v>
      </c>
      <c r="L33" s="1">
        <v>465</v>
      </c>
      <c r="M33" s="1">
        <v>2</v>
      </c>
      <c r="N33" s="3">
        <f t="shared" si="0"/>
        <v>42.148014440433215</v>
      </c>
      <c r="O33" s="3">
        <f t="shared" si="1"/>
        <v>0.18050541516245489</v>
      </c>
      <c r="P33" s="1">
        <v>633</v>
      </c>
      <c r="Q33" s="1">
        <v>2</v>
      </c>
      <c r="R33" s="1">
        <v>465</v>
      </c>
      <c r="S33" s="1">
        <f t="shared" si="2"/>
        <v>467</v>
      </c>
      <c r="T33" s="3">
        <f t="shared" si="3"/>
        <v>0.42826552462526768</v>
      </c>
      <c r="U33" s="1">
        <v>37</v>
      </c>
      <c r="V33" s="3">
        <f t="shared" si="4"/>
        <v>7.9229122055674521</v>
      </c>
      <c r="W33" s="1">
        <v>430</v>
      </c>
      <c r="X33" s="1">
        <v>0</v>
      </c>
      <c r="Y33" s="1">
        <v>0</v>
      </c>
      <c r="Z33" s="1">
        <v>95</v>
      </c>
      <c r="AA33" s="3">
        <f t="shared" si="5"/>
        <v>20.342612419700213</v>
      </c>
      <c r="AB33" s="1">
        <v>13</v>
      </c>
      <c r="AC33" s="3">
        <f t="shared" si="6"/>
        <v>2.78372591006424</v>
      </c>
      <c r="AD33" s="1">
        <v>52</v>
      </c>
      <c r="AE33" s="3">
        <f t="shared" si="7"/>
        <v>11.13490364025696</v>
      </c>
      <c r="AF33" s="1">
        <v>33</v>
      </c>
      <c r="AG33" s="3">
        <f t="shared" si="8"/>
        <v>7.0663811563169165</v>
      </c>
      <c r="AH33" s="1">
        <v>159</v>
      </c>
      <c r="AI33" s="3">
        <f t="shared" si="9"/>
        <v>34.047109207708779</v>
      </c>
      <c r="AJ33" s="1">
        <v>22</v>
      </c>
      <c r="AK33" s="3">
        <f t="shared" si="10"/>
        <v>4.7109207708779444</v>
      </c>
      <c r="AL33" s="1">
        <v>5</v>
      </c>
      <c r="AM33" s="3">
        <f t="shared" si="11"/>
        <v>1.0706638115631693</v>
      </c>
      <c r="AN33" s="1">
        <v>0</v>
      </c>
      <c r="AO33" s="3">
        <f t="shared" si="12"/>
        <v>0</v>
      </c>
      <c r="AP33" s="1">
        <v>6</v>
      </c>
      <c r="AQ33" s="3">
        <f t="shared" si="13"/>
        <v>1.2847965738758029</v>
      </c>
      <c r="AR33" s="1">
        <v>13</v>
      </c>
      <c r="AS33" s="3">
        <f t="shared" si="14"/>
        <v>2.78372591006424</v>
      </c>
      <c r="AT33" s="1">
        <v>0</v>
      </c>
      <c r="AU33" s="3">
        <f t="shared" si="15"/>
        <v>0</v>
      </c>
      <c r="AV33" s="1">
        <v>9</v>
      </c>
      <c r="AW33" s="3">
        <f t="shared" si="16"/>
        <v>1.9271948608137044</v>
      </c>
      <c r="AX33" s="1">
        <v>6</v>
      </c>
      <c r="AY33" s="3">
        <f t="shared" si="17"/>
        <v>1.2847965738758029</v>
      </c>
      <c r="AZ33" s="1">
        <v>17</v>
      </c>
      <c r="BA33" s="3">
        <f t="shared" si="18"/>
        <v>3.6402569593147751</v>
      </c>
      <c r="BB33" t="s">
        <v>209</v>
      </c>
      <c r="BD33"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19.393939393939377</v>
      </c>
      <c r="BE33" s="13">
        <f>2*(Дума_партии[[#This Row],[5. Всероссийская политическая партия "ЕДИНАЯ РОССИЯ"]]-(AB$124/100)*Дума_партии[[#This Row],[Число действительных избирательных бюллетеней]])</f>
        <v>25.599999999999966</v>
      </c>
      <c r="BF33" s="13">
        <f>(Дума_партии[[#This Row],[Вброс]]+Дума_партии[[#This Row],[Перекладывание]])/2</f>
        <v>22.496969696969671</v>
      </c>
      <c r="BG33" s="13">
        <v>0</v>
      </c>
    </row>
    <row r="34" spans="1:59" x14ac:dyDescent="0.4">
      <c r="A34" s="1" t="s">
        <v>49</v>
      </c>
      <c r="B34" s="1" t="s">
        <v>50</v>
      </c>
      <c r="C34" s="1" t="s">
        <v>51</v>
      </c>
      <c r="D34" s="1" t="s">
        <v>102</v>
      </c>
      <c r="E34" s="1" t="s">
        <v>135</v>
      </c>
      <c r="F34" s="1">
        <f t="shared" ca="1" si="19"/>
        <v>1774</v>
      </c>
      <c r="G34" t="s">
        <v>228</v>
      </c>
      <c r="H34" s="1">
        <v>544</v>
      </c>
      <c r="I34" s="1">
        <f>Дума_партии[[#This Row],[Число избирателей, внесенных в список избирателей на момент окончания голосования]]</f>
        <v>544</v>
      </c>
      <c r="J34" s="1">
        <v>400</v>
      </c>
      <c r="K34" s="1">
        <v>0</v>
      </c>
      <c r="L34" s="1">
        <v>364</v>
      </c>
      <c r="M34" s="1">
        <v>4</v>
      </c>
      <c r="N34" s="3">
        <f t="shared" si="0"/>
        <v>67.647058823529406</v>
      </c>
      <c r="O34" s="3">
        <f t="shared" si="1"/>
        <v>0.73529411764705888</v>
      </c>
      <c r="P34" s="1">
        <v>32</v>
      </c>
      <c r="Q34" s="1">
        <v>4</v>
      </c>
      <c r="R34" s="1">
        <v>364</v>
      </c>
      <c r="S34" s="1">
        <f t="shared" si="2"/>
        <v>368</v>
      </c>
      <c r="T34" s="3">
        <f t="shared" si="3"/>
        <v>1.0869565217391304</v>
      </c>
      <c r="U34" s="1">
        <v>8</v>
      </c>
      <c r="V34" s="3">
        <f t="shared" si="4"/>
        <v>2.1739130434782608</v>
      </c>
      <c r="W34" s="1">
        <v>360</v>
      </c>
      <c r="X34" s="1">
        <v>0</v>
      </c>
      <c r="Y34" s="1">
        <v>0</v>
      </c>
      <c r="Z34" s="1">
        <v>15</v>
      </c>
      <c r="AA34" s="3">
        <f t="shared" si="5"/>
        <v>4.0760869565217392</v>
      </c>
      <c r="AB34" s="1">
        <v>5</v>
      </c>
      <c r="AC34" s="3">
        <f t="shared" si="6"/>
        <v>1.3586956521739131</v>
      </c>
      <c r="AD34" s="1">
        <v>15</v>
      </c>
      <c r="AE34" s="3">
        <f t="shared" si="7"/>
        <v>4.0760869565217392</v>
      </c>
      <c r="AF34" s="1">
        <v>12</v>
      </c>
      <c r="AG34" s="3">
        <f t="shared" si="8"/>
        <v>3.2608695652173911</v>
      </c>
      <c r="AH34" s="1">
        <v>269</v>
      </c>
      <c r="AI34" s="3">
        <f t="shared" si="9"/>
        <v>73.097826086956516</v>
      </c>
      <c r="AJ34" s="1">
        <v>18</v>
      </c>
      <c r="AK34" s="3">
        <f t="shared" si="10"/>
        <v>4.8913043478260869</v>
      </c>
      <c r="AL34" s="1">
        <v>8</v>
      </c>
      <c r="AM34" s="3">
        <f t="shared" si="11"/>
        <v>2.1739130434782608</v>
      </c>
      <c r="AN34" s="1">
        <v>2</v>
      </c>
      <c r="AO34" s="3">
        <f t="shared" si="12"/>
        <v>0.54347826086956519</v>
      </c>
      <c r="AP34" s="1">
        <v>0</v>
      </c>
      <c r="AQ34" s="3">
        <f t="shared" si="13"/>
        <v>0</v>
      </c>
      <c r="AR34" s="1">
        <v>3</v>
      </c>
      <c r="AS34" s="3">
        <f t="shared" si="14"/>
        <v>0.81521739130434778</v>
      </c>
      <c r="AT34" s="1">
        <v>0</v>
      </c>
      <c r="AU34" s="3">
        <f t="shared" si="15"/>
        <v>0</v>
      </c>
      <c r="AV34" s="1">
        <v>3</v>
      </c>
      <c r="AW34" s="3">
        <f t="shared" si="16"/>
        <v>0.81521739130434778</v>
      </c>
      <c r="AX34" s="1">
        <v>3</v>
      </c>
      <c r="AY34" s="3">
        <f t="shared" si="17"/>
        <v>0.81521739130434778</v>
      </c>
      <c r="AZ34" s="1">
        <v>7</v>
      </c>
      <c r="BA34" s="3">
        <f t="shared" si="18"/>
        <v>1.9021739130434783</v>
      </c>
      <c r="BB34" t="s">
        <v>209</v>
      </c>
      <c r="BD34"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222.12121212121212</v>
      </c>
      <c r="BE34" s="13">
        <f>2*(Дума_партии[[#This Row],[5. Всероссийская политическая партия "ЕДИНАЯ РОССИЯ"]]-(AB$124/100)*Дума_партии[[#This Row],[Число действительных избирательных бюллетеней]])</f>
        <v>293.2</v>
      </c>
      <c r="BF34" s="13">
        <f>(Дума_партии[[#This Row],[Вброс]]+Дума_партии[[#This Row],[Перекладывание]])/2</f>
        <v>257.66060606060603</v>
      </c>
      <c r="BG34" s="13">
        <v>0</v>
      </c>
    </row>
    <row r="35" spans="1:59" x14ac:dyDescent="0.4">
      <c r="A35" s="1" t="s">
        <v>49</v>
      </c>
      <c r="B35" s="1" t="s">
        <v>50</v>
      </c>
      <c r="C35" s="1" t="s">
        <v>51</v>
      </c>
      <c r="D35" s="1" t="s">
        <v>102</v>
      </c>
      <c r="E35" s="1" t="s">
        <v>136</v>
      </c>
      <c r="F35" s="1">
        <f t="shared" ca="1" si="19"/>
        <v>1775</v>
      </c>
      <c r="G35" s="1" t="s">
        <v>231</v>
      </c>
      <c r="H35" s="1">
        <v>1300</v>
      </c>
      <c r="I35" s="1">
        <f>Дума_партии[[#This Row],[Число избирателей, внесенных в список избирателей на момент окончания голосования]]</f>
        <v>1300</v>
      </c>
      <c r="J35" s="1">
        <v>1200</v>
      </c>
      <c r="K35" s="1">
        <v>0</v>
      </c>
      <c r="L35" s="1">
        <v>569</v>
      </c>
      <c r="M35" s="1">
        <v>60</v>
      </c>
      <c r="N35" s="3">
        <f t="shared" si="0"/>
        <v>48.384615384615387</v>
      </c>
      <c r="O35" s="3">
        <f t="shared" si="1"/>
        <v>4.615384615384615</v>
      </c>
      <c r="P35" s="1">
        <v>571</v>
      </c>
      <c r="Q35" s="1">
        <v>60</v>
      </c>
      <c r="R35" s="1">
        <v>569</v>
      </c>
      <c r="S35" s="1">
        <f t="shared" si="2"/>
        <v>629</v>
      </c>
      <c r="T35" s="3">
        <f t="shared" si="3"/>
        <v>9.5389507154213042</v>
      </c>
      <c r="U35" s="1">
        <v>19</v>
      </c>
      <c r="V35" s="3">
        <f t="shared" si="4"/>
        <v>3.0206677265500796</v>
      </c>
      <c r="W35" s="1">
        <v>610</v>
      </c>
      <c r="X35" s="1">
        <v>0</v>
      </c>
      <c r="Y35" s="1">
        <v>0</v>
      </c>
      <c r="Z35" s="1">
        <v>116</v>
      </c>
      <c r="AA35" s="3">
        <f t="shared" si="5"/>
        <v>18.441971383147855</v>
      </c>
      <c r="AB35" s="1">
        <v>4</v>
      </c>
      <c r="AC35" s="3">
        <f t="shared" si="6"/>
        <v>0.63593004769475359</v>
      </c>
      <c r="AD35" s="1">
        <v>45</v>
      </c>
      <c r="AE35" s="3">
        <f t="shared" si="7"/>
        <v>7.1542130365659782</v>
      </c>
      <c r="AF35" s="1">
        <v>31</v>
      </c>
      <c r="AG35" s="3">
        <f t="shared" ref="AG35:AI39" si="20">100*AF35/$S35</f>
        <v>4.9284578696343404</v>
      </c>
      <c r="AH35" s="1">
        <v>335</v>
      </c>
      <c r="AI35" s="3">
        <f t="shared" si="20"/>
        <v>53.25914149443561</v>
      </c>
      <c r="AJ35" s="1">
        <v>22</v>
      </c>
      <c r="AK35" s="3">
        <f t="shared" ref="AK35:AM39" si="21">100*AJ35/$S35</f>
        <v>3.4976152623211445</v>
      </c>
      <c r="AL35" s="1">
        <v>16</v>
      </c>
      <c r="AM35" s="3">
        <f t="shared" si="21"/>
        <v>2.5437201907790143</v>
      </c>
      <c r="AN35" s="1">
        <v>4</v>
      </c>
      <c r="AO35" s="3">
        <f t="shared" ref="AO35:AQ39" si="22">100*AN35/$S35</f>
        <v>0.63593004769475359</v>
      </c>
      <c r="AP35" s="1">
        <v>9</v>
      </c>
      <c r="AQ35" s="3">
        <f t="shared" si="22"/>
        <v>1.4308426073131955</v>
      </c>
      <c r="AR35" s="1">
        <v>6</v>
      </c>
      <c r="AS35" s="3">
        <f t="shared" ref="AS35:AU39" si="23">100*AR35/$S35</f>
        <v>0.95389507154213038</v>
      </c>
      <c r="AT35" s="1">
        <v>1</v>
      </c>
      <c r="AU35" s="3">
        <f t="shared" si="23"/>
        <v>0.1589825119236884</v>
      </c>
      <c r="AV35" s="1">
        <v>1</v>
      </c>
      <c r="AW35" s="3">
        <f t="shared" ref="AW35:AY39" si="24">100*AV35/$S35</f>
        <v>0.1589825119236884</v>
      </c>
      <c r="AX35" s="1">
        <v>5</v>
      </c>
      <c r="AY35" s="3">
        <f t="shared" si="24"/>
        <v>0.79491255961844198</v>
      </c>
      <c r="AZ35" s="1">
        <v>15</v>
      </c>
      <c r="BA35" s="3">
        <f t="shared" si="18"/>
        <v>2.3847376788553261</v>
      </c>
      <c r="BB35" t="s">
        <v>209</v>
      </c>
      <c r="BD35"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193.33333333333331</v>
      </c>
      <c r="BE35" s="13">
        <f>2*(Дума_партии[[#This Row],[5. Всероссийская политическая партия "ЕДИНАЯ РОССИЯ"]]-(AB$124/100)*Дума_партии[[#This Row],[Число действительных избирательных бюллетеней]])</f>
        <v>255.2</v>
      </c>
      <c r="BF35" s="13">
        <f>(Дума_партии[[#This Row],[Вброс]]+Дума_партии[[#This Row],[Перекладывание]])/2</f>
        <v>224.26666666666665</v>
      </c>
      <c r="BG35" s="13" t="s">
        <v>255</v>
      </c>
    </row>
    <row r="36" spans="1:59" x14ac:dyDescent="0.4">
      <c r="A36" s="1" t="s">
        <v>49</v>
      </c>
      <c r="B36" s="1" t="s">
        <v>50</v>
      </c>
      <c r="C36" s="1" t="s">
        <v>51</v>
      </c>
      <c r="D36" s="1" t="s">
        <v>102</v>
      </c>
      <c r="E36" s="1" t="s">
        <v>137</v>
      </c>
      <c r="F36" s="1">
        <f t="shared" ca="1" si="19"/>
        <v>1776</v>
      </c>
      <c r="G36" s="1" t="s">
        <v>231</v>
      </c>
      <c r="H36" s="1">
        <v>2201</v>
      </c>
      <c r="I36" s="1">
        <f>Дума_партии[[#This Row],[Число избирателей, внесенных в список избирателей на момент окончания голосования]]</f>
        <v>2201</v>
      </c>
      <c r="J36" s="1">
        <v>2200</v>
      </c>
      <c r="K36" s="1">
        <v>0</v>
      </c>
      <c r="L36" s="1">
        <v>555</v>
      </c>
      <c r="M36" s="1">
        <v>212</v>
      </c>
      <c r="N36" s="3">
        <f t="shared" si="0"/>
        <v>34.847796456156296</v>
      </c>
      <c r="O36" s="3">
        <f t="shared" si="1"/>
        <v>9.6319854611540201</v>
      </c>
      <c r="P36" s="1">
        <v>1433</v>
      </c>
      <c r="Q36" s="1">
        <v>212</v>
      </c>
      <c r="R36" s="1">
        <v>555</v>
      </c>
      <c r="S36" s="1">
        <f t="shared" si="2"/>
        <v>767</v>
      </c>
      <c r="T36" s="3">
        <f t="shared" si="3"/>
        <v>27.640156453715775</v>
      </c>
      <c r="U36" s="1">
        <v>9</v>
      </c>
      <c r="V36" s="3">
        <f t="shared" si="4"/>
        <v>1.1734028683181226</v>
      </c>
      <c r="W36" s="1">
        <v>758</v>
      </c>
      <c r="X36" s="1">
        <v>0</v>
      </c>
      <c r="Y36" s="1">
        <v>0</v>
      </c>
      <c r="Z36" s="1">
        <v>170</v>
      </c>
      <c r="AA36" s="3">
        <f t="shared" si="5"/>
        <v>22.164276401564535</v>
      </c>
      <c r="AB36" s="1">
        <v>7</v>
      </c>
      <c r="AC36" s="3">
        <f t="shared" si="6"/>
        <v>0.91264667535853972</v>
      </c>
      <c r="AD36" s="1">
        <v>51</v>
      </c>
      <c r="AE36" s="3">
        <f t="shared" si="7"/>
        <v>6.6492829204693615</v>
      </c>
      <c r="AF36" s="1">
        <v>39</v>
      </c>
      <c r="AG36" s="3">
        <f t="shared" si="20"/>
        <v>5.0847457627118642</v>
      </c>
      <c r="AH36" s="1">
        <v>337</v>
      </c>
      <c r="AI36" s="3">
        <f t="shared" si="20"/>
        <v>43.9374185136897</v>
      </c>
      <c r="AJ36" s="1">
        <v>52</v>
      </c>
      <c r="AK36" s="3">
        <f t="shared" si="21"/>
        <v>6.7796610169491522</v>
      </c>
      <c r="AL36" s="1">
        <v>30</v>
      </c>
      <c r="AM36" s="3">
        <f t="shared" si="21"/>
        <v>3.9113428943937421</v>
      </c>
      <c r="AN36" s="1">
        <v>5</v>
      </c>
      <c r="AO36" s="3">
        <f t="shared" si="22"/>
        <v>0.65189048239895697</v>
      </c>
      <c r="AP36" s="1">
        <v>8</v>
      </c>
      <c r="AQ36" s="3">
        <f t="shared" si="22"/>
        <v>1.0430247718383312</v>
      </c>
      <c r="AR36" s="1">
        <v>20</v>
      </c>
      <c r="AS36" s="3">
        <f t="shared" si="23"/>
        <v>2.6075619295958279</v>
      </c>
      <c r="AT36" s="1">
        <v>2</v>
      </c>
      <c r="AU36" s="3">
        <f t="shared" si="23"/>
        <v>0.2607561929595828</v>
      </c>
      <c r="AV36" s="1">
        <v>11</v>
      </c>
      <c r="AW36" s="3">
        <f t="shared" si="24"/>
        <v>1.4341590612777053</v>
      </c>
      <c r="AX36" s="1">
        <v>11</v>
      </c>
      <c r="AY36" s="3">
        <f t="shared" si="24"/>
        <v>1.4341590612777053</v>
      </c>
      <c r="AZ36" s="1">
        <v>15</v>
      </c>
      <c r="BA36" s="3">
        <f t="shared" si="18"/>
        <v>1.955671447196871</v>
      </c>
      <c r="BB36" t="s">
        <v>209</v>
      </c>
      <c r="BD36"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120.12121212121207</v>
      </c>
      <c r="BE36" s="13">
        <f>2*(Дума_партии[[#This Row],[5. Всероссийская политическая партия "ЕДИНАЯ РОССИЯ"]]-(AB$124/100)*Дума_партии[[#This Row],[Число действительных избирательных бюллетеней]])</f>
        <v>158.55999999999995</v>
      </c>
      <c r="BF36" s="13">
        <f>(Дума_партии[[#This Row],[Вброс]]+Дума_партии[[#This Row],[Перекладывание]])/2</f>
        <v>139.34060606060601</v>
      </c>
      <c r="BG36" s="13" t="s">
        <v>255</v>
      </c>
    </row>
    <row r="37" spans="1:59" x14ac:dyDescent="0.4">
      <c r="A37" s="1" t="s">
        <v>49</v>
      </c>
      <c r="B37" s="1" t="s">
        <v>50</v>
      </c>
      <c r="C37" s="1" t="s">
        <v>51</v>
      </c>
      <c r="D37" s="1" t="s">
        <v>102</v>
      </c>
      <c r="E37" s="1" t="s">
        <v>138</v>
      </c>
      <c r="F37" s="1">
        <f t="shared" ca="1" si="19"/>
        <v>1777</v>
      </c>
      <c r="G37" s="1" t="s">
        <v>231</v>
      </c>
      <c r="H37" s="1">
        <v>1049</v>
      </c>
      <c r="I37" s="1">
        <f>Дума_партии[[#This Row],[Число избирателей, внесенных в список избирателей на момент окончания голосования]]</f>
        <v>1049</v>
      </c>
      <c r="J37" s="1">
        <v>1000</v>
      </c>
      <c r="K37" s="1">
        <v>0</v>
      </c>
      <c r="L37" s="1">
        <v>595</v>
      </c>
      <c r="M37" s="1">
        <v>95</v>
      </c>
      <c r="N37" s="3">
        <f t="shared" si="0"/>
        <v>65.7769304099142</v>
      </c>
      <c r="O37" s="3">
        <f t="shared" si="1"/>
        <v>9.0562440419447086</v>
      </c>
      <c r="P37" s="1">
        <v>310</v>
      </c>
      <c r="Q37" s="1">
        <v>95</v>
      </c>
      <c r="R37" s="1">
        <v>595</v>
      </c>
      <c r="S37" s="1">
        <f t="shared" si="2"/>
        <v>690</v>
      </c>
      <c r="T37" s="3">
        <f t="shared" si="3"/>
        <v>13.768115942028986</v>
      </c>
      <c r="U37" s="1">
        <v>9</v>
      </c>
      <c r="V37" s="3">
        <f t="shared" si="4"/>
        <v>1.3043478260869565</v>
      </c>
      <c r="W37" s="1">
        <v>681</v>
      </c>
      <c r="X37" s="1">
        <v>0</v>
      </c>
      <c r="Y37" s="1">
        <v>0</v>
      </c>
      <c r="Z37" s="1">
        <v>99</v>
      </c>
      <c r="AA37" s="3">
        <f t="shared" si="5"/>
        <v>14.347826086956522</v>
      </c>
      <c r="AB37" s="1">
        <v>8</v>
      </c>
      <c r="AC37" s="3">
        <f t="shared" si="6"/>
        <v>1.1594202898550725</v>
      </c>
      <c r="AD37" s="1">
        <v>45</v>
      </c>
      <c r="AE37" s="3">
        <f t="shared" si="7"/>
        <v>6.5217391304347823</v>
      </c>
      <c r="AF37" s="1">
        <v>19</v>
      </c>
      <c r="AG37" s="3">
        <f t="shared" si="20"/>
        <v>2.7536231884057969</v>
      </c>
      <c r="AH37" s="1">
        <v>442</v>
      </c>
      <c r="AI37" s="3">
        <f t="shared" si="20"/>
        <v>64.05797101449275</v>
      </c>
      <c r="AJ37" s="1">
        <v>20</v>
      </c>
      <c r="AK37" s="3">
        <f t="shared" si="21"/>
        <v>2.8985507246376812</v>
      </c>
      <c r="AL37" s="1">
        <v>6</v>
      </c>
      <c r="AM37" s="3">
        <f t="shared" si="21"/>
        <v>0.86956521739130432</v>
      </c>
      <c r="AN37" s="1">
        <v>1</v>
      </c>
      <c r="AO37" s="3">
        <f t="shared" si="22"/>
        <v>0.14492753623188406</v>
      </c>
      <c r="AP37" s="1">
        <v>4</v>
      </c>
      <c r="AQ37" s="3">
        <f t="shared" si="22"/>
        <v>0.57971014492753625</v>
      </c>
      <c r="AR37" s="1">
        <v>10</v>
      </c>
      <c r="AS37" s="3">
        <f t="shared" si="23"/>
        <v>1.4492753623188406</v>
      </c>
      <c r="AT37" s="1">
        <v>0</v>
      </c>
      <c r="AU37" s="3">
        <f t="shared" si="23"/>
        <v>0</v>
      </c>
      <c r="AV37" s="1">
        <v>6</v>
      </c>
      <c r="AW37" s="3">
        <f t="shared" si="24"/>
        <v>0.86956521739130432</v>
      </c>
      <c r="AX37" s="1">
        <v>6</v>
      </c>
      <c r="AY37" s="3">
        <f t="shared" si="24"/>
        <v>0.86956521739130432</v>
      </c>
      <c r="AZ37" s="1">
        <v>15</v>
      </c>
      <c r="BA37" s="3">
        <f t="shared" si="18"/>
        <v>2.1739130434782608</v>
      </c>
      <c r="BB37" t="s">
        <v>209</v>
      </c>
      <c r="BD37"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318.87878787878788</v>
      </c>
      <c r="BE37" s="13">
        <f>2*(Дума_партии[[#This Row],[5. Всероссийская политическая партия "ЕДИНАЯ РОССИЯ"]]-(AB$124/100)*Дума_партии[[#This Row],[Число действительных избирательных бюллетеней]])</f>
        <v>420.91999999999996</v>
      </c>
      <c r="BF37" s="13">
        <f>(Дума_партии[[#This Row],[Вброс]]+Дума_партии[[#This Row],[Перекладывание]])/2</f>
        <v>369.89939393939392</v>
      </c>
      <c r="BG37" s="13" t="s">
        <v>255</v>
      </c>
    </row>
    <row r="38" spans="1:59" x14ac:dyDescent="0.4">
      <c r="A38" s="1" t="s">
        <v>49</v>
      </c>
      <c r="B38" s="1" t="s">
        <v>50</v>
      </c>
      <c r="C38" s="1" t="s">
        <v>51</v>
      </c>
      <c r="D38" s="1" t="s">
        <v>102</v>
      </c>
      <c r="E38" s="1" t="s">
        <v>139</v>
      </c>
      <c r="F38" s="1">
        <f t="shared" ca="1" si="19"/>
        <v>1778</v>
      </c>
      <c r="G38" s="1" t="s">
        <v>231</v>
      </c>
      <c r="H38" s="1">
        <v>1019</v>
      </c>
      <c r="I38" s="1">
        <f>Дума_партии[[#This Row],[Число избирателей, внесенных в список избирателей на момент окончания голосования]]</f>
        <v>1019</v>
      </c>
      <c r="J38" s="1">
        <v>1000</v>
      </c>
      <c r="K38" s="1">
        <v>0</v>
      </c>
      <c r="L38" s="1">
        <v>590</v>
      </c>
      <c r="M38" s="1">
        <v>6</v>
      </c>
      <c r="N38" s="3">
        <f t="shared" si="0"/>
        <v>58.488714425907752</v>
      </c>
      <c r="O38" s="3">
        <f t="shared" si="1"/>
        <v>0.58881256133464177</v>
      </c>
      <c r="P38" s="1">
        <v>404</v>
      </c>
      <c r="Q38" s="1">
        <v>6</v>
      </c>
      <c r="R38" s="1">
        <v>590</v>
      </c>
      <c r="S38" s="1">
        <f t="shared" si="2"/>
        <v>596</v>
      </c>
      <c r="T38" s="3">
        <f t="shared" si="3"/>
        <v>1.0067114093959733</v>
      </c>
      <c r="U38" s="1">
        <v>15</v>
      </c>
      <c r="V38" s="3">
        <f t="shared" si="4"/>
        <v>2.5167785234899327</v>
      </c>
      <c r="W38" s="1">
        <v>581</v>
      </c>
      <c r="X38" s="1">
        <v>0</v>
      </c>
      <c r="Y38" s="1">
        <v>0</v>
      </c>
      <c r="Z38" s="1">
        <v>88</v>
      </c>
      <c r="AA38" s="3">
        <f t="shared" si="5"/>
        <v>14.765100671140939</v>
      </c>
      <c r="AB38" s="1">
        <v>6</v>
      </c>
      <c r="AC38" s="3">
        <f t="shared" si="6"/>
        <v>1.0067114093959733</v>
      </c>
      <c r="AD38" s="1">
        <v>17</v>
      </c>
      <c r="AE38" s="3">
        <f t="shared" si="7"/>
        <v>2.8523489932885906</v>
      </c>
      <c r="AF38" s="1">
        <v>23</v>
      </c>
      <c r="AG38" s="3">
        <f t="shared" si="20"/>
        <v>3.8590604026845639</v>
      </c>
      <c r="AH38" s="1">
        <v>384</v>
      </c>
      <c r="AI38" s="3">
        <f t="shared" si="20"/>
        <v>64.429530201342288</v>
      </c>
      <c r="AJ38" s="1">
        <v>20</v>
      </c>
      <c r="AK38" s="3">
        <f t="shared" si="21"/>
        <v>3.3557046979865772</v>
      </c>
      <c r="AL38" s="1">
        <v>5</v>
      </c>
      <c r="AM38" s="3">
        <f t="shared" si="21"/>
        <v>0.83892617449664431</v>
      </c>
      <c r="AN38" s="1">
        <v>0</v>
      </c>
      <c r="AO38" s="3">
        <f t="shared" si="22"/>
        <v>0</v>
      </c>
      <c r="AP38" s="1">
        <v>5</v>
      </c>
      <c r="AQ38" s="3">
        <f t="shared" si="22"/>
        <v>0.83892617449664431</v>
      </c>
      <c r="AR38" s="1">
        <v>9</v>
      </c>
      <c r="AS38" s="3">
        <f t="shared" si="23"/>
        <v>1.5100671140939597</v>
      </c>
      <c r="AT38" s="1">
        <v>0</v>
      </c>
      <c r="AU38" s="3">
        <f t="shared" si="23"/>
        <v>0</v>
      </c>
      <c r="AV38" s="1">
        <v>4</v>
      </c>
      <c r="AW38" s="3">
        <f t="shared" si="24"/>
        <v>0.67114093959731547</v>
      </c>
      <c r="AX38" s="1">
        <v>7</v>
      </c>
      <c r="AY38" s="3">
        <f t="shared" si="24"/>
        <v>1.174496644295302</v>
      </c>
      <c r="AZ38" s="1">
        <v>13</v>
      </c>
      <c r="BA38" s="3">
        <f t="shared" si="18"/>
        <v>2.1812080536912752</v>
      </c>
      <c r="BB38" t="s">
        <v>209</v>
      </c>
      <c r="BD38"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282.5151515151515</v>
      </c>
      <c r="BE38" s="13">
        <f>2*(Дума_партии[[#This Row],[5. Всероссийская политическая партия "ЕДИНАЯ РОССИЯ"]]-(AB$124/100)*Дума_партии[[#This Row],[Число действительных избирательных бюллетеней]])</f>
        <v>372.91999999999996</v>
      </c>
      <c r="BF38" s="13">
        <f>(Дума_партии[[#This Row],[Вброс]]+Дума_партии[[#This Row],[Перекладывание]])/2</f>
        <v>327.71757575757573</v>
      </c>
      <c r="BG38" s="13" t="s">
        <v>255</v>
      </c>
    </row>
    <row r="39" spans="1:59" x14ac:dyDescent="0.4">
      <c r="A39" s="1" t="s">
        <v>49</v>
      </c>
      <c r="B39" s="1" t="s">
        <v>50</v>
      </c>
      <c r="C39" s="1" t="s">
        <v>51</v>
      </c>
      <c r="D39" s="1" t="s">
        <v>102</v>
      </c>
      <c r="E39" s="1" t="s">
        <v>140</v>
      </c>
      <c r="F39" s="1">
        <f t="shared" ca="1" si="19"/>
        <v>1779</v>
      </c>
      <c r="G39" s="1" t="s">
        <v>231</v>
      </c>
      <c r="H39" s="1">
        <v>1100</v>
      </c>
      <c r="I39" s="1">
        <f>Дума_партии[[#This Row],[Число избирателей, внесенных в список избирателей на момент окончания голосования]]</f>
        <v>1100</v>
      </c>
      <c r="J39" s="1">
        <v>1100</v>
      </c>
      <c r="K39" s="1">
        <v>0</v>
      </c>
      <c r="L39" s="1">
        <v>590</v>
      </c>
      <c r="M39" s="1">
        <v>15</v>
      </c>
      <c r="N39" s="3">
        <f t="shared" si="0"/>
        <v>55</v>
      </c>
      <c r="O39" s="3">
        <f t="shared" si="1"/>
        <v>1.3636363636363635</v>
      </c>
      <c r="P39" s="1">
        <v>495</v>
      </c>
      <c r="Q39" s="1">
        <v>15</v>
      </c>
      <c r="R39" s="1">
        <v>590</v>
      </c>
      <c r="S39" s="1">
        <f t="shared" si="2"/>
        <v>605</v>
      </c>
      <c r="T39" s="3">
        <f t="shared" si="3"/>
        <v>2.4793388429752068</v>
      </c>
      <c r="U39" s="1">
        <v>13</v>
      </c>
      <c r="V39" s="3">
        <f t="shared" si="4"/>
        <v>2.1487603305785123</v>
      </c>
      <c r="W39" s="1">
        <v>592</v>
      </c>
      <c r="X39" s="1">
        <v>0</v>
      </c>
      <c r="Y39" s="1">
        <v>0</v>
      </c>
      <c r="Z39" s="1">
        <v>91</v>
      </c>
      <c r="AA39" s="3">
        <f t="shared" si="5"/>
        <v>15.041322314049587</v>
      </c>
      <c r="AB39" s="1">
        <v>5</v>
      </c>
      <c r="AC39" s="3">
        <f t="shared" si="6"/>
        <v>0.82644628099173556</v>
      </c>
      <c r="AD39" s="1">
        <v>28</v>
      </c>
      <c r="AE39" s="3">
        <f t="shared" si="7"/>
        <v>4.6280991735537187</v>
      </c>
      <c r="AF39" s="1">
        <v>16</v>
      </c>
      <c r="AG39" s="3">
        <f t="shared" si="20"/>
        <v>2.6446280991735538</v>
      </c>
      <c r="AH39" s="1">
        <v>385</v>
      </c>
      <c r="AI39" s="3">
        <f t="shared" si="20"/>
        <v>63.636363636363633</v>
      </c>
      <c r="AJ39" s="1">
        <v>25</v>
      </c>
      <c r="AK39" s="3">
        <f t="shared" si="21"/>
        <v>4.1322314049586772</v>
      </c>
      <c r="AL39" s="1">
        <v>5</v>
      </c>
      <c r="AM39" s="3">
        <f t="shared" si="21"/>
        <v>0.82644628099173556</v>
      </c>
      <c r="AN39" s="1">
        <v>4</v>
      </c>
      <c r="AO39" s="3">
        <f t="shared" si="22"/>
        <v>0.66115702479338845</v>
      </c>
      <c r="AP39" s="1">
        <v>5</v>
      </c>
      <c r="AQ39" s="3">
        <f t="shared" si="22"/>
        <v>0.82644628099173556</v>
      </c>
      <c r="AR39" s="1">
        <v>8</v>
      </c>
      <c r="AS39" s="3">
        <f t="shared" si="23"/>
        <v>1.3223140495867769</v>
      </c>
      <c r="AT39" s="1">
        <v>1</v>
      </c>
      <c r="AU39" s="3">
        <f t="shared" si="23"/>
        <v>0.16528925619834711</v>
      </c>
      <c r="AV39" s="1">
        <v>4</v>
      </c>
      <c r="AW39" s="3">
        <f t="shared" si="24"/>
        <v>0.66115702479338845</v>
      </c>
      <c r="AX39" s="1">
        <v>4</v>
      </c>
      <c r="AY39" s="3">
        <f t="shared" si="24"/>
        <v>0.66115702479338845</v>
      </c>
      <c r="AZ39" s="1">
        <v>11</v>
      </c>
      <c r="BA39" s="3">
        <f t="shared" si="18"/>
        <v>1.8181818181818181</v>
      </c>
      <c r="BB39" t="s">
        <v>209</v>
      </c>
      <c r="BD39"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278.36363636363637</v>
      </c>
      <c r="BE39" s="13">
        <f>2*(Дума_партии[[#This Row],[5. Всероссийская политическая партия "ЕДИНАЯ РОССИЯ"]]-(AB$124/100)*Дума_партии[[#This Row],[Число действительных избирательных бюллетеней]])</f>
        <v>367.44</v>
      </c>
      <c r="BF39" s="13">
        <f>(Дума_партии[[#This Row],[Вброс]]+Дума_партии[[#This Row],[Перекладывание]])/2</f>
        <v>322.90181818181816</v>
      </c>
      <c r="BG39" s="13" t="s">
        <v>255</v>
      </c>
    </row>
    <row r="40" spans="1:59" x14ac:dyDescent="0.4">
      <c r="A40" s="1" t="s">
        <v>49</v>
      </c>
      <c r="B40" s="1" t="s">
        <v>50</v>
      </c>
      <c r="C40" s="1" t="s">
        <v>51</v>
      </c>
      <c r="D40" s="1" t="s">
        <v>102</v>
      </c>
      <c r="E40" s="1" t="s">
        <v>141</v>
      </c>
      <c r="F40" s="10">
        <f t="shared" ref="F40:F71" ca="1" si="25">SUMPRODUCT(MID(0&amp;E40, LARGE(INDEX(ISNUMBER(--MID(E40, ROW(INDIRECT("1:"&amp;LEN(E40))), 1)) * ROW(INDIRECT("1:"&amp;LEN(E40))), 0), ROW(INDIRECT("1:"&amp;LEN(E40))))+1, 1) * 10^ROW(INDIRECT("1:"&amp;LEN(E40)))/10)</f>
        <v>1780</v>
      </c>
      <c r="G40" s="1" t="s">
        <v>231</v>
      </c>
      <c r="H40" s="1">
        <v>970</v>
      </c>
      <c r="I40" s="10">
        <f>Дума_партии[[#This Row],[Число избирателей, внесенных в список избирателей на момент окончания голосования]]</f>
        <v>970</v>
      </c>
      <c r="J40" s="1">
        <v>900</v>
      </c>
      <c r="K40" s="1">
        <v>0</v>
      </c>
      <c r="L40" s="1">
        <v>752</v>
      </c>
      <c r="M40" s="1">
        <v>1</v>
      </c>
      <c r="N40" s="3">
        <f t="shared" ref="N40:N71" si="26">100*(L40+M40)/H40</f>
        <v>77.628865979381445</v>
      </c>
      <c r="O40" s="3">
        <f t="shared" ref="O40:O71" si="27">100*M40/H40</f>
        <v>0.10309278350515463</v>
      </c>
      <c r="P40" s="1">
        <v>147</v>
      </c>
      <c r="Q40" s="1">
        <v>1</v>
      </c>
      <c r="R40" s="1">
        <v>748</v>
      </c>
      <c r="S40" s="1">
        <f t="shared" ref="S40:S71" si="28">Q40+R40</f>
        <v>749</v>
      </c>
      <c r="T40" s="3">
        <f t="shared" ref="T40:T71" si="29">100*Q40/S40</f>
        <v>0.13351134846461948</v>
      </c>
      <c r="U40" s="1">
        <v>117</v>
      </c>
      <c r="V40" s="3">
        <f t="shared" ref="V40:V71" si="30">100*U40/S40</f>
        <v>15.620827770360481</v>
      </c>
      <c r="W40" s="1">
        <v>632</v>
      </c>
      <c r="X40" s="1">
        <v>0</v>
      </c>
      <c r="Y40" s="1">
        <v>0</v>
      </c>
      <c r="Z40" s="1">
        <v>90</v>
      </c>
      <c r="AA40" s="3">
        <f t="shared" ref="AA40:AA71" si="31">100*Z40/$S40</f>
        <v>12.016021361815755</v>
      </c>
      <c r="AB40" s="1">
        <v>9</v>
      </c>
      <c r="AC40" s="3">
        <f t="shared" ref="AC40:AC71" si="32">100*AB40/$S40</f>
        <v>1.2016021361815754</v>
      </c>
      <c r="AD40" s="1">
        <v>33</v>
      </c>
      <c r="AE40" s="3">
        <f t="shared" ref="AE40:AE71" si="33">100*AD40/$S40</f>
        <v>4.4058744993324437</v>
      </c>
      <c r="AF40" s="1">
        <v>26</v>
      </c>
      <c r="AG40" s="3">
        <f t="shared" ref="AG40:AG71" si="34">100*AF40/$S40</f>
        <v>3.4712950600801067</v>
      </c>
      <c r="AH40" s="1">
        <v>388</v>
      </c>
      <c r="AI40" s="3">
        <f t="shared" ref="AI40:AI71" si="35">100*AH40/$S40</f>
        <v>51.802403204272366</v>
      </c>
      <c r="AJ40" s="1">
        <v>19</v>
      </c>
      <c r="AK40" s="3">
        <f t="shared" ref="AK40:AK71" si="36">100*AJ40/$S40</f>
        <v>2.5367156208277706</v>
      </c>
      <c r="AL40" s="1">
        <v>9</v>
      </c>
      <c r="AM40" s="3">
        <f t="shared" ref="AM40:AM71" si="37">100*AL40/$S40</f>
        <v>1.2016021361815754</v>
      </c>
      <c r="AN40" s="1">
        <v>20</v>
      </c>
      <c r="AO40" s="3">
        <f t="shared" ref="AO40:AO71" si="38">100*AN40/$S40</f>
        <v>2.6702269692923899</v>
      </c>
      <c r="AP40" s="1">
        <v>1</v>
      </c>
      <c r="AQ40" s="3">
        <f t="shared" ref="AQ40:AQ71" si="39">100*AP40/$S40</f>
        <v>0.13351134846461948</v>
      </c>
      <c r="AR40" s="1">
        <v>5</v>
      </c>
      <c r="AS40" s="3">
        <f t="shared" ref="AS40:AS71" si="40">100*AR40/$S40</f>
        <v>0.66755674232309747</v>
      </c>
      <c r="AT40" s="1">
        <v>0</v>
      </c>
      <c r="AU40" s="3">
        <f t="shared" ref="AU40:AU71" si="41">100*AT40/$S40</f>
        <v>0</v>
      </c>
      <c r="AV40" s="1">
        <v>5</v>
      </c>
      <c r="AW40" s="3">
        <f t="shared" ref="AW40:AW71" si="42">100*AV40/$S40</f>
        <v>0.66755674232309747</v>
      </c>
      <c r="AX40" s="1">
        <v>4</v>
      </c>
      <c r="AY40" s="3">
        <f t="shared" ref="AY40:AY71" si="43">100*AX40/$S40</f>
        <v>0.53404539385847793</v>
      </c>
      <c r="AZ40" s="1">
        <v>23</v>
      </c>
      <c r="BA40" s="3">
        <f t="shared" ref="BA40:BA71" si="44">100*AZ40/$S40</f>
        <v>3.0707610146862483</v>
      </c>
      <c r="BB40" t="s">
        <v>209</v>
      </c>
      <c r="BD40"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262.30303030303025</v>
      </c>
      <c r="BE40" s="13">
        <f>2*(Дума_партии[[#This Row],[5. Всероссийская политическая партия "ЕДИНАЯ РОССИЯ"]]-(AB$124/100)*Дума_партии[[#This Row],[Число действительных избирательных бюллетеней]])</f>
        <v>346.23999999999995</v>
      </c>
      <c r="BF40" s="13">
        <f>(Дума_партии[[#This Row],[Вброс]]+Дума_партии[[#This Row],[Перекладывание]])/2</f>
        <v>304.27151515151513</v>
      </c>
      <c r="BG40" s="13" t="s">
        <v>255</v>
      </c>
    </row>
    <row r="41" spans="1:59" x14ac:dyDescent="0.4">
      <c r="A41" s="1" t="s">
        <v>49</v>
      </c>
      <c r="B41" s="1" t="s">
        <v>50</v>
      </c>
      <c r="C41" s="1" t="s">
        <v>51</v>
      </c>
      <c r="D41" s="1" t="s">
        <v>102</v>
      </c>
      <c r="E41" s="1" t="s">
        <v>142</v>
      </c>
      <c r="F41" s="10">
        <f t="shared" ca="1" si="25"/>
        <v>1781</v>
      </c>
      <c r="G41" s="1" t="s">
        <v>231</v>
      </c>
      <c r="H41" s="1">
        <v>1456</v>
      </c>
      <c r="I41" s="10">
        <f>Дума_партии[[#This Row],[Число избирателей, внесенных в список избирателей на момент окончания голосования]]</f>
        <v>1456</v>
      </c>
      <c r="J41" s="1">
        <v>1400</v>
      </c>
      <c r="K41" s="1">
        <v>0</v>
      </c>
      <c r="L41" s="1">
        <v>485</v>
      </c>
      <c r="M41" s="1">
        <v>33</v>
      </c>
      <c r="N41" s="3">
        <f t="shared" si="26"/>
        <v>35.57692307692308</v>
      </c>
      <c r="O41" s="3">
        <f t="shared" si="27"/>
        <v>2.2664835164835164</v>
      </c>
      <c r="P41" s="1">
        <v>882</v>
      </c>
      <c r="Q41" s="1">
        <v>33</v>
      </c>
      <c r="R41" s="1">
        <v>485</v>
      </c>
      <c r="S41" s="1">
        <f t="shared" si="28"/>
        <v>518</v>
      </c>
      <c r="T41" s="3">
        <f t="shared" si="29"/>
        <v>6.3706563706563708</v>
      </c>
      <c r="U41" s="1">
        <v>11</v>
      </c>
      <c r="V41" s="3">
        <f t="shared" si="30"/>
        <v>2.1235521235521237</v>
      </c>
      <c r="W41" s="1">
        <v>507</v>
      </c>
      <c r="X41" s="1">
        <v>0</v>
      </c>
      <c r="Y41" s="1">
        <v>0</v>
      </c>
      <c r="Z41" s="1">
        <v>109</v>
      </c>
      <c r="AA41" s="3">
        <f t="shared" si="31"/>
        <v>21.042471042471043</v>
      </c>
      <c r="AB41" s="1">
        <v>6</v>
      </c>
      <c r="AC41" s="3">
        <f t="shared" si="32"/>
        <v>1.1583011583011582</v>
      </c>
      <c r="AD41" s="1">
        <v>33</v>
      </c>
      <c r="AE41" s="3">
        <f t="shared" si="33"/>
        <v>6.3706563706563708</v>
      </c>
      <c r="AF41" s="1">
        <v>26</v>
      </c>
      <c r="AG41" s="3">
        <f t="shared" si="34"/>
        <v>5.019305019305019</v>
      </c>
      <c r="AH41" s="1">
        <v>250</v>
      </c>
      <c r="AI41" s="3">
        <f t="shared" si="35"/>
        <v>48.262548262548265</v>
      </c>
      <c r="AJ41" s="1">
        <v>35</v>
      </c>
      <c r="AK41" s="3">
        <f t="shared" si="36"/>
        <v>6.756756756756757</v>
      </c>
      <c r="AL41" s="1">
        <v>8</v>
      </c>
      <c r="AM41" s="3">
        <f t="shared" si="37"/>
        <v>1.5444015444015444</v>
      </c>
      <c r="AN41" s="1">
        <v>1</v>
      </c>
      <c r="AO41" s="3">
        <f t="shared" si="38"/>
        <v>0.19305019305019305</v>
      </c>
      <c r="AP41" s="1">
        <v>8</v>
      </c>
      <c r="AQ41" s="3">
        <f t="shared" si="39"/>
        <v>1.5444015444015444</v>
      </c>
      <c r="AR41" s="1">
        <v>6</v>
      </c>
      <c r="AS41" s="3">
        <f t="shared" si="40"/>
        <v>1.1583011583011582</v>
      </c>
      <c r="AT41" s="1">
        <v>1</v>
      </c>
      <c r="AU41" s="3">
        <f t="shared" si="41"/>
        <v>0.19305019305019305</v>
      </c>
      <c r="AV41" s="1">
        <v>3</v>
      </c>
      <c r="AW41" s="3">
        <f t="shared" si="42"/>
        <v>0.5791505791505791</v>
      </c>
      <c r="AX41" s="1">
        <v>6</v>
      </c>
      <c r="AY41" s="3">
        <f t="shared" si="43"/>
        <v>1.1583011583011582</v>
      </c>
      <c r="AZ41" s="1">
        <v>15</v>
      </c>
      <c r="BA41" s="3">
        <f t="shared" si="44"/>
        <v>2.8957528957528957</v>
      </c>
      <c r="BB41" t="s">
        <v>209</v>
      </c>
      <c r="BD41"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117.60606060606059</v>
      </c>
      <c r="BE41" s="13">
        <f>2*(Дума_партии[[#This Row],[5. Всероссийская политическая партия "ЕДИНАЯ РОССИЯ"]]-(AB$124/100)*Дума_партии[[#This Row],[Число действительных избирательных бюллетеней]])</f>
        <v>155.23999999999995</v>
      </c>
      <c r="BF41" s="13">
        <f>(Дума_партии[[#This Row],[Вброс]]+Дума_партии[[#This Row],[Перекладывание]])/2</f>
        <v>136.42303030303026</v>
      </c>
      <c r="BG41" s="13" t="s">
        <v>255</v>
      </c>
    </row>
    <row r="42" spans="1:59" x14ac:dyDescent="0.4">
      <c r="A42" s="1" t="s">
        <v>49</v>
      </c>
      <c r="B42" s="1" t="s">
        <v>50</v>
      </c>
      <c r="C42" s="1" t="s">
        <v>51</v>
      </c>
      <c r="D42" s="1" t="s">
        <v>102</v>
      </c>
      <c r="E42" s="1" t="s">
        <v>143</v>
      </c>
      <c r="F42" s="10">
        <f t="shared" ca="1" si="25"/>
        <v>1782</v>
      </c>
      <c r="G42" s="1" t="s">
        <v>231</v>
      </c>
      <c r="H42" s="1">
        <v>2016</v>
      </c>
      <c r="I42" s="10">
        <f>Дума_партии[[#This Row],[Число избирателей, внесенных в список избирателей на момент окончания голосования]]</f>
        <v>2016</v>
      </c>
      <c r="J42" s="1">
        <v>1900</v>
      </c>
      <c r="K42" s="1">
        <v>0</v>
      </c>
      <c r="L42" s="1">
        <v>882</v>
      </c>
      <c r="M42" s="1">
        <v>12</v>
      </c>
      <c r="N42" s="3">
        <f t="shared" si="26"/>
        <v>44.345238095238095</v>
      </c>
      <c r="O42" s="3">
        <f t="shared" si="27"/>
        <v>0.59523809523809523</v>
      </c>
      <c r="P42" s="1">
        <v>1006</v>
      </c>
      <c r="Q42" s="1">
        <v>12</v>
      </c>
      <c r="R42" s="1">
        <v>882</v>
      </c>
      <c r="S42" s="1">
        <f t="shared" si="28"/>
        <v>894</v>
      </c>
      <c r="T42" s="3">
        <f t="shared" si="29"/>
        <v>1.3422818791946309</v>
      </c>
      <c r="U42" s="1">
        <v>26</v>
      </c>
      <c r="V42" s="3">
        <f t="shared" si="30"/>
        <v>2.9082774049217002</v>
      </c>
      <c r="W42" s="1">
        <v>868</v>
      </c>
      <c r="X42" s="1">
        <v>0</v>
      </c>
      <c r="Y42" s="1">
        <v>0</v>
      </c>
      <c r="Z42" s="1">
        <v>137</v>
      </c>
      <c r="AA42" s="3">
        <f t="shared" si="31"/>
        <v>15.324384787472036</v>
      </c>
      <c r="AB42" s="1">
        <v>14</v>
      </c>
      <c r="AC42" s="3">
        <f t="shared" si="32"/>
        <v>1.5659955257270695</v>
      </c>
      <c r="AD42" s="1">
        <v>54</v>
      </c>
      <c r="AE42" s="3">
        <f t="shared" si="33"/>
        <v>6.0402684563758386</v>
      </c>
      <c r="AF42" s="1">
        <v>49</v>
      </c>
      <c r="AG42" s="3">
        <f t="shared" si="34"/>
        <v>5.4809843400447429</v>
      </c>
      <c r="AH42" s="1">
        <v>461</v>
      </c>
      <c r="AI42" s="3">
        <f t="shared" si="35"/>
        <v>51.565995525727068</v>
      </c>
      <c r="AJ42" s="1">
        <v>37</v>
      </c>
      <c r="AK42" s="3">
        <f t="shared" si="36"/>
        <v>4.1387024608501122</v>
      </c>
      <c r="AL42" s="1">
        <v>29</v>
      </c>
      <c r="AM42" s="3">
        <f t="shared" si="37"/>
        <v>3.2438478747203581</v>
      </c>
      <c r="AN42" s="1">
        <v>13</v>
      </c>
      <c r="AO42" s="3">
        <f t="shared" si="38"/>
        <v>1.4541387024608501</v>
      </c>
      <c r="AP42" s="1">
        <v>13</v>
      </c>
      <c r="AQ42" s="3">
        <f t="shared" si="39"/>
        <v>1.4541387024608501</v>
      </c>
      <c r="AR42" s="1">
        <v>14</v>
      </c>
      <c r="AS42" s="3">
        <f t="shared" si="40"/>
        <v>1.5659955257270695</v>
      </c>
      <c r="AT42" s="1">
        <v>5</v>
      </c>
      <c r="AU42" s="3">
        <f t="shared" si="41"/>
        <v>0.5592841163310962</v>
      </c>
      <c r="AV42" s="1">
        <v>12</v>
      </c>
      <c r="AW42" s="3">
        <f t="shared" si="42"/>
        <v>1.3422818791946309</v>
      </c>
      <c r="AX42" s="1">
        <v>8</v>
      </c>
      <c r="AY42" s="3">
        <f t="shared" si="43"/>
        <v>0.89485458612975388</v>
      </c>
      <c r="AZ42" s="1">
        <v>22</v>
      </c>
      <c r="BA42" s="3">
        <f t="shared" si="44"/>
        <v>2.4608501118568231</v>
      </c>
      <c r="BB42" t="s">
        <v>209</v>
      </c>
      <c r="BD42"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251.33333333333329</v>
      </c>
      <c r="BE42" s="13">
        <f>2*(Дума_партии[[#This Row],[5. Всероссийская политическая партия "ЕДИНАЯ РОССИЯ"]]-(AB$124/100)*Дума_партии[[#This Row],[Число действительных избирательных бюллетеней]])</f>
        <v>331.76</v>
      </c>
      <c r="BF42" s="13">
        <f>(Дума_партии[[#This Row],[Вброс]]+Дума_партии[[#This Row],[Перекладывание]])/2</f>
        <v>291.54666666666662</v>
      </c>
      <c r="BG42" s="13" t="s">
        <v>255</v>
      </c>
    </row>
    <row r="43" spans="1:59" x14ac:dyDescent="0.4">
      <c r="A43" s="1" t="s">
        <v>49</v>
      </c>
      <c r="B43" s="1" t="s">
        <v>50</v>
      </c>
      <c r="C43" s="1" t="s">
        <v>51</v>
      </c>
      <c r="D43" s="1" t="s">
        <v>102</v>
      </c>
      <c r="E43" s="1" t="s">
        <v>144</v>
      </c>
      <c r="F43" s="10">
        <f t="shared" ca="1" si="25"/>
        <v>1783</v>
      </c>
      <c r="G43" s="1" t="s">
        <v>231</v>
      </c>
      <c r="H43" s="1">
        <v>1039</v>
      </c>
      <c r="I43" s="10">
        <f>Дума_партии[[#This Row],[Число избирателей, внесенных в список избирателей на момент окончания голосования]]</f>
        <v>1039</v>
      </c>
      <c r="J43" s="1">
        <v>1000</v>
      </c>
      <c r="K43" s="1">
        <v>0</v>
      </c>
      <c r="L43" s="1">
        <v>343</v>
      </c>
      <c r="M43" s="1">
        <v>7</v>
      </c>
      <c r="N43" s="3">
        <f t="shared" si="26"/>
        <v>33.686236766121269</v>
      </c>
      <c r="O43" s="3">
        <f t="shared" si="27"/>
        <v>0.67372473532242538</v>
      </c>
      <c r="P43" s="1">
        <v>650</v>
      </c>
      <c r="Q43" s="1">
        <v>7</v>
      </c>
      <c r="R43" s="1">
        <v>343</v>
      </c>
      <c r="S43" s="1">
        <f t="shared" si="28"/>
        <v>350</v>
      </c>
      <c r="T43" s="3">
        <f t="shared" si="29"/>
        <v>2</v>
      </c>
      <c r="U43" s="1">
        <v>12</v>
      </c>
      <c r="V43" s="3">
        <f t="shared" si="30"/>
        <v>3.4285714285714284</v>
      </c>
      <c r="W43" s="1">
        <v>338</v>
      </c>
      <c r="X43" s="1">
        <v>0</v>
      </c>
      <c r="Y43" s="1">
        <v>0</v>
      </c>
      <c r="Z43" s="1">
        <v>97</v>
      </c>
      <c r="AA43" s="3">
        <f t="shared" si="31"/>
        <v>27.714285714285715</v>
      </c>
      <c r="AB43" s="1">
        <v>4</v>
      </c>
      <c r="AC43" s="3">
        <f t="shared" si="32"/>
        <v>1.1428571428571428</v>
      </c>
      <c r="AD43" s="1">
        <v>29</v>
      </c>
      <c r="AE43" s="3">
        <f t="shared" si="33"/>
        <v>8.2857142857142865</v>
      </c>
      <c r="AF43" s="1">
        <v>24</v>
      </c>
      <c r="AG43" s="3">
        <f t="shared" si="34"/>
        <v>6.8571428571428568</v>
      </c>
      <c r="AH43" s="1">
        <v>112</v>
      </c>
      <c r="AI43" s="3">
        <f t="shared" si="35"/>
        <v>32</v>
      </c>
      <c r="AJ43" s="1">
        <v>32</v>
      </c>
      <c r="AK43" s="3">
        <f t="shared" si="36"/>
        <v>9.1428571428571423</v>
      </c>
      <c r="AL43" s="1">
        <v>7</v>
      </c>
      <c r="AM43" s="3">
        <f t="shared" si="37"/>
        <v>2</v>
      </c>
      <c r="AN43" s="1">
        <v>3</v>
      </c>
      <c r="AO43" s="3">
        <f t="shared" si="38"/>
        <v>0.8571428571428571</v>
      </c>
      <c r="AP43" s="1">
        <v>5</v>
      </c>
      <c r="AQ43" s="3">
        <f t="shared" si="39"/>
        <v>1.4285714285714286</v>
      </c>
      <c r="AR43" s="1">
        <v>3</v>
      </c>
      <c r="AS43" s="3">
        <f t="shared" si="40"/>
        <v>0.8571428571428571</v>
      </c>
      <c r="AT43" s="1">
        <v>0</v>
      </c>
      <c r="AU43" s="3">
        <f t="shared" si="41"/>
        <v>0</v>
      </c>
      <c r="AV43" s="1">
        <v>4</v>
      </c>
      <c r="AW43" s="3">
        <f t="shared" si="42"/>
        <v>1.1428571428571428</v>
      </c>
      <c r="AX43" s="1">
        <v>6</v>
      </c>
      <c r="AY43" s="3">
        <f t="shared" si="43"/>
        <v>1.7142857142857142</v>
      </c>
      <c r="AZ43" s="1">
        <v>12</v>
      </c>
      <c r="BA43" s="3">
        <f t="shared" si="44"/>
        <v>3.4285714285714284</v>
      </c>
      <c r="BB43" t="s">
        <v>209</v>
      </c>
      <c r="BD43"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-4.4242424242424505</v>
      </c>
      <c r="BE43" s="13">
        <f>2*(Дума_партии[[#This Row],[5. Всероссийская политическая партия "ЕДИНАЯ РОССИЯ"]]-(AB$124/100)*Дума_партии[[#This Row],[Число действительных избирательных бюллетеней]])</f>
        <v>-5.8400000000000034</v>
      </c>
      <c r="BF43" s="13">
        <f>(Дума_партии[[#This Row],[Вброс]]+Дума_партии[[#This Row],[Перекладывание]])/2</f>
        <v>-5.132121212121227</v>
      </c>
      <c r="BG43" s="13" t="s">
        <v>255</v>
      </c>
    </row>
    <row r="44" spans="1:59" x14ac:dyDescent="0.4">
      <c r="A44" s="1" t="s">
        <v>49</v>
      </c>
      <c r="B44" s="1" t="s">
        <v>50</v>
      </c>
      <c r="C44" s="1" t="s">
        <v>51</v>
      </c>
      <c r="D44" s="1" t="s">
        <v>102</v>
      </c>
      <c r="E44" s="1" t="s">
        <v>145</v>
      </c>
      <c r="F44" s="10">
        <f t="shared" ca="1" si="25"/>
        <v>1784</v>
      </c>
      <c r="G44" s="1" t="s">
        <v>231</v>
      </c>
      <c r="H44" s="1">
        <v>1131</v>
      </c>
      <c r="I44" s="10">
        <f>Дума_партии[[#This Row],[Число избирателей, внесенных в список избирателей на момент окончания голосования]]</f>
        <v>1131</v>
      </c>
      <c r="J44" s="1">
        <v>1100</v>
      </c>
      <c r="K44" s="1">
        <v>0</v>
      </c>
      <c r="L44" s="1">
        <v>650</v>
      </c>
      <c r="M44" s="1">
        <v>18</v>
      </c>
      <c r="N44" s="3">
        <f t="shared" si="26"/>
        <v>59.062776304155612</v>
      </c>
      <c r="O44" s="3">
        <f t="shared" si="27"/>
        <v>1.5915119363395225</v>
      </c>
      <c r="P44" s="1">
        <v>432</v>
      </c>
      <c r="Q44" s="1">
        <v>18</v>
      </c>
      <c r="R44" s="1">
        <v>650</v>
      </c>
      <c r="S44" s="1">
        <f t="shared" si="28"/>
        <v>668</v>
      </c>
      <c r="T44" s="3">
        <f t="shared" si="29"/>
        <v>2.6946107784431139</v>
      </c>
      <c r="U44" s="1">
        <v>21</v>
      </c>
      <c r="V44" s="3">
        <f t="shared" si="30"/>
        <v>3.1437125748502992</v>
      </c>
      <c r="W44" s="1">
        <v>647</v>
      </c>
      <c r="X44" s="1">
        <v>0</v>
      </c>
      <c r="Y44" s="1">
        <v>0</v>
      </c>
      <c r="Z44" s="1">
        <v>127</v>
      </c>
      <c r="AA44" s="3">
        <f t="shared" si="31"/>
        <v>19.011976047904191</v>
      </c>
      <c r="AB44" s="1">
        <v>9</v>
      </c>
      <c r="AC44" s="3">
        <f t="shared" si="32"/>
        <v>1.347305389221557</v>
      </c>
      <c r="AD44" s="1">
        <v>57</v>
      </c>
      <c r="AE44" s="3">
        <f t="shared" si="33"/>
        <v>8.5329341317365266</v>
      </c>
      <c r="AF44" s="1">
        <v>23</v>
      </c>
      <c r="AG44" s="3">
        <f t="shared" si="34"/>
        <v>3.44311377245509</v>
      </c>
      <c r="AH44" s="1">
        <v>350</v>
      </c>
      <c r="AI44" s="3">
        <f t="shared" si="35"/>
        <v>52.395209580838326</v>
      </c>
      <c r="AJ44" s="1">
        <v>36</v>
      </c>
      <c r="AK44" s="3">
        <f t="shared" si="36"/>
        <v>5.3892215568862278</v>
      </c>
      <c r="AL44" s="1">
        <v>13</v>
      </c>
      <c r="AM44" s="3">
        <f t="shared" si="37"/>
        <v>1.9461077844311376</v>
      </c>
      <c r="AN44" s="1">
        <v>4</v>
      </c>
      <c r="AO44" s="3">
        <f t="shared" si="38"/>
        <v>0.59880239520958078</v>
      </c>
      <c r="AP44" s="1">
        <v>6</v>
      </c>
      <c r="AQ44" s="3">
        <f t="shared" si="39"/>
        <v>0.89820359281437123</v>
      </c>
      <c r="AR44" s="1">
        <v>9</v>
      </c>
      <c r="AS44" s="3">
        <f t="shared" si="40"/>
        <v>1.347305389221557</v>
      </c>
      <c r="AT44" s="1">
        <v>1</v>
      </c>
      <c r="AU44" s="3">
        <f t="shared" si="41"/>
        <v>0.1497005988023952</v>
      </c>
      <c r="AV44" s="1">
        <v>2</v>
      </c>
      <c r="AW44" s="3">
        <f t="shared" si="42"/>
        <v>0.29940119760479039</v>
      </c>
      <c r="AX44" s="1">
        <v>2</v>
      </c>
      <c r="AY44" s="3">
        <f t="shared" si="43"/>
        <v>0.29940119760479039</v>
      </c>
      <c r="AZ44" s="1">
        <v>8</v>
      </c>
      <c r="BA44" s="3">
        <f t="shared" si="44"/>
        <v>1.1976047904191616</v>
      </c>
      <c r="BB44" t="s">
        <v>209</v>
      </c>
      <c r="BD44"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196.99999999999997</v>
      </c>
      <c r="BE44" s="13">
        <f>2*(Дума_партии[[#This Row],[5. Всероссийская политическая партия "ЕДИНАЯ РОССИЯ"]]-(AB$124/100)*Дума_партии[[#This Row],[Число действительных избирательных бюллетеней]])</f>
        <v>260.03999999999996</v>
      </c>
      <c r="BF44" s="13">
        <f>(Дума_партии[[#This Row],[Вброс]]+Дума_партии[[#This Row],[Перекладывание]])/2</f>
        <v>228.51999999999998</v>
      </c>
      <c r="BG44" s="13" t="s">
        <v>255</v>
      </c>
    </row>
    <row r="45" spans="1:59" x14ac:dyDescent="0.4">
      <c r="A45" s="1" t="s">
        <v>49</v>
      </c>
      <c r="B45" s="1" t="s">
        <v>50</v>
      </c>
      <c r="C45" s="1" t="s">
        <v>51</v>
      </c>
      <c r="D45" s="1" t="s">
        <v>102</v>
      </c>
      <c r="E45" s="1" t="s">
        <v>146</v>
      </c>
      <c r="F45" s="10">
        <f t="shared" ca="1" si="25"/>
        <v>1785</v>
      </c>
      <c r="G45" s="1" t="s">
        <v>231</v>
      </c>
      <c r="H45" s="1">
        <v>1737</v>
      </c>
      <c r="I45" s="10">
        <f>Дума_партии[[#This Row],[Число избирателей, внесенных в список избирателей на момент окончания голосования]]</f>
        <v>1737</v>
      </c>
      <c r="J45" s="1">
        <v>1700</v>
      </c>
      <c r="K45" s="1">
        <v>0</v>
      </c>
      <c r="L45" s="1">
        <v>664</v>
      </c>
      <c r="M45" s="1">
        <v>10</v>
      </c>
      <c r="N45" s="3">
        <f t="shared" si="26"/>
        <v>38.802533103051239</v>
      </c>
      <c r="O45" s="3">
        <f t="shared" si="27"/>
        <v>0.57570523891767411</v>
      </c>
      <c r="P45" s="1">
        <v>1026</v>
      </c>
      <c r="Q45" s="1">
        <v>10</v>
      </c>
      <c r="R45" s="1">
        <v>664</v>
      </c>
      <c r="S45" s="1">
        <f t="shared" si="28"/>
        <v>674</v>
      </c>
      <c r="T45" s="3">
        <f t="shared" si="29"/>
        <v>1.4836795252225519</v>
      </c>
      <c r="U45" s="1">
        <v>23</v>
      </c>
      <c r="V45" s="3">
        <f t="shared" si="30"/>
        <v>3.4124629080118694</v>
      </c>
      <c r="W45" s="1">
        <v>651</v>
      </c>
      <c r="X45" s="1">
        <v>0</v>
      </c>
      <c r="Y45" s="1">
        <v>0</v>
      </c>
      <c r="Z45" s="1">
        <v>130</v>
      </c>
      <c r="AA45" s="3">
        <f t="shared" si="31"/>
        <v>19.287833827893174</v>
      </c>
      <c r="AB45" s="1">
        <v>6</v>
      </c>
      <c r="AC45" s="3">
        <f t="shared" si="32"/>
        <v>0.89020771513353114</v>
      </c>
      <c r="AD45" s="1">
        <v>43</v>
      </c>
      <c r="AE45" s="3">
        <f t="shared" si="33"/>
        <v>6.3798219584569731</v>
      </c>
      <c r="AF45" s="1">
        <v>29</v>
      </c>
      <c r="AG45" s="3">
        <f t="shared" si="34"/>
        <v>4.3026706231454002</v>
      </c>
      <c r="AH45" s="1">
        <v>341</v>
      </c>
      <c r="AI45" s="3">
        <f t="shared" si="35"/>
        <v>50.593471810089021</v>
      </c>
      <c r="AJ45" s="1">
        <v>42</v>
      </c>
      <c r="AK45" s="3">
        <f t="shared" si="36"/>
        <v>6.2314540059347179</v>
      </c>
      <c r="AL45" s="1">
        <v>17</v>
      </c>
      <c r="AM45" s="3">
        <f t="shared" si="37"/>
        <v>2.5222551928783381</v>
      </c>
      <c r="AN45" s="1">
        <v>1</v>
      </c>
      <c r="AO45" s="3">
        <f t="shared" si="38"/>
        <v>0.14836795252225518</v>
      </c>
      <c r="AP45" s="1">
        <v>9</v>
      </c>
      <c r="AQ45" s="3">
        <f t="shared" si="39"/>
        <v>1.3353115727002967</v>
      </c>
      <c r="AR45" s="1">
        <v>9</v>
      </c>
      <c r="AS45" s="3">
        <f t="shared" si="40"/>
        <v>1.3353115727002967</v>
      </c>
      <c r="AT45" s="1">
        <v>0</v>
      </c>
      <c r="AU45" s="3">
        <f t="shared" si="41"/>
        <v>0</v>
      </c>
      <c r="AV45" s="1">
        <v>3</v>
      </c>
      <c r="AW45" s="3">
        <f t="shared" si="42"/>
        <v>0.44510385756676557</v>
      </c>
      <c r="AX45" s="1">
        <v>9</v>
      </c>
      <c r="AY45" s="3">
        <f t="shared" si="43"/>
        <v>1.3353115727002967</v>
      </c>
      <c r="AZ45" s="1">
        <v>12</v>
      </c>
      <c r="BA45" s="3">
        <f t="shared" si="44"/>
        <v>1.7804154302670623</v>
      </c>
      <c r="BB45" t="s">
        <v>209</v>
      </c>
      <c r="BD45"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181.30303030303028</v>
      </c>
      <c r="BE45" s="13">
        <f>2*(Дума_партии[[#This Row],[5. Всероссийская политическая партия "ЕДИНАЯ РОССИЯ"]]-(AB$124/100)*Дума_партии[[#This Row],[Число действительных избирательных бюллетеней]])</f>
        <v>239.32</v>
      </c>
      <c r="BF45" s="13">
        <f>(Дума_партии[[#This Row],[Вброс]]+Дума_партии[[#This Row],[Перекладывание]])/2</f>
        <v>210.31151515151515</v>
      </c>
      <c r="BG45" s="13" t="s">
        <v>255</v>
      </c>
    </row>
    <row r="46" spans="1:59" x14ac:dyDescent="0.4">
      <c r="A46" s="1" t="s">
        <v>49</v>
      </c>
      <c r="B46" s="1" t="s">
        <v>50</v>
      </c>
      <c r="C46" s="1" t="s">
        <v>51</v>
      </c>
      <c r="D46" s="1" t="s">
        <v>102</v>
      </c>
      <c r="E46" s="1" t="s">
        <v>147</v>
      </c>
      <c r="F46" s="10">
        <f t="shared" ca="1" si="25"/>
        <v>1786</v>
      </c>
      <c r="G46" s="1" t="s">
        <v>231</v>
      </c>
      <c r="H46" s="1">
        <v>1149</v>
      </c>
      <c r="I46" s="10">
        <f>Дума_партии[[#This Row],[Число избирателей, внесенных в список избирателей на момент окончания голосования]]</f>
        <v>1149</v>
      </c>
      <c r="J46" s="1">
        <v>1100</v>
      </c>
      <c r="K46" s="1">
        <v>0</v>
      </c>
      <c r="L46" s="1">
        <v>443</v>
      </c>
      <c r="M46" s="1">
        <v>11</v>
      </c>
      <c r="N46" s="3">
        <f t="shared" si="26"/>
        <v>39.512619669277633</v>
      </c>
      <c r="O46" s="3">
        <f t="shared" si="27"/>
        <v>0.95735422106179291</v>
      </c>
      <c r="P46" s="1">
        <v>646</v>
      </c>
      <c r="Q46" s="1">
        <v>11</v>
      </c>
      <c r="R46" s="1">
        <v>443</v>
      </c>
      <c r="S46" s="1">
        <f t="shared" si="28"/>
        <v>454</v>
      </c>
      <c r="T46" s="3">
        <f t="shared" si="29"/>
        <v>2.4229074889867843</v>
      </c>
      <c r="U46" s="1">
        <v>12</v>
      </c>
      <c r="V46" s="3">
        <f t="shared" si="30"/>
        <v>2.643171806167401</v>
      </c>
      <c r="W46" s="1">
        <v>442</v>
      </c>
      <c r="X46" s="1">
        <v>0</v>
      </c>
      <c r="Y46" s="1">
        <v>0</v>
      </c>
      <c r="Z46" s="1">
        <v>79</v>
      </c>
      <c r="AA46" s="3">
        <f t="shared" si="31"/>
        <v>17.400881057268723</v>
      </c>
      <c r="AB46" s="1">
        <v>12</v>
      </c>
      <c r="AC46" s="3">
        <f t="shared" si="32"/>
        <v>2.643171806167401</v>
      </c>
      <c r="AD46" s="1">
        <v>67</v>
      </c>
      <c r="AE46" s="3">
        <f t="shared" si="33"/>
        <v>14.757709251101321</v>
      </c>
      <c r="AF46" s="1">
        <v>21</v>
      </c>
      <c r="AG46" s="3">
        <f t="shared" si="34"/>
        <v>4.6255506607929515</v>
      </c>
      <c r="AH46" s="1">
        <v>199</v>
      </c>
      <c r="AI46" s="3">
        <f t="shared" si="35"/>
        <v>43.832599118942731</v>
      </c>
      <c r="AJ46" s="1">
        <v>18</v>
      </c>
      <c r="AK46" s="3">
        <f t="shared" si="36"/>
        <v>3.9647577092511015</v>
      </c>
      <c r="AL46" s="1">
        <v>7</v>
      </c>
      <c r="AM46" s="3">
        <f t="shared" si="37"/>
        <v>1.5418502202643172</v>
      </c>
      <c r="AN46" s="1">
        <v>2</v>
      </c>
      <c r="AO46" s="3">
        <f t="shared" si="38"/>
        <v>0.44052863436123346</v>
      </c>
      <c r="AP46" s="1">
        <v>1</v>
      </c>
      <c r="AQ46" s="3">
        <f t="shared" si="39"/>
        <v>0.22026431718061673</v>
      </c>
      <c r="AR46" s="1">
        <v>0</v>
      </c>
      <c r="AS46" s="3">
        <f t="shared" si="40"/>
        <v>0</v>
      </c>
      <c r="AT46" s="1">
        <v>1</v>
      </c>
      <c r="AU46" s="3">
        <f t="shared" si="41"/>
        <v>0.22026431718061673</v>
      </c>
      <c r="AV46" s="1">
        <v>3</v>
      </c>
      <c r="AW46" s="3">
        <f t="shared" si="42"/>
        <v>0.66079295154185025</v>
      </c>
      <c r="AX46" s="1">
        <v>3</v>
      </c>
      <c r="AY46" s="3">
        <f t="shared" si="43"/>
        <v>0.66079295154185025</v>
      </c>
      <c r="AZ46" s="1">
        <v>29</v>
      </c>
      <c r="BA46" s="3">
        <f t="shared" si="44"/>
        <v>6.3876651982378858</v>
      </c>
      <c r="BB46" t="s">
        <v>209</v>
      </c>
      <c r="BD46"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73.818181818181799</v>
      </c>
      <c r="BE46" s="13">
        <f>2*(Дума_партии[[#This Row],[5. Всероссийская политическая партия "ЕДИНАЯ РОССИЯ"]]-(AB$124/100)*Дума_партии[[#This Row],[Число действительных избирательных бюллетеней]])</f>
        <v>97.44</v>
      </c>
      <c r="BF46" s="13">
        <f>(Дума_партии[[#This Row],[Вброс]]+Дума_партии[[#This Row],[Перекладывание]])/2</f>
        <v>85.629090909090905</v>
      </c>
      <c r="BG46" s="13" t="s">
        <v>255</v>
      </c>
    </row>
    <row r="47" spans="1:59" x14ac:dyDescent="0.4">
      <c r="A47" s="1" t="s">
        <v>49</v>
      </c>
      <c r="B47" s="1" t="s">
        <v>50</v>
      </c>
      <c r="C47" s="1" t="s">
        <v>51</v>
      </c>
      <c r="D47" s="1" t="s">
        <v>102</v>
      </c>
      <c r="E47" s="1" t="s">
        <v>148</v>
      </c>
      <c r="F47" s="10">
        <f t="shared" ca="1" si="25"/>
        <v>1787</v>
      </c>
      <c r="G47" s="1" t="s">
        <v>231</v>
      </c>
      <c r="H47" s="1">
        <v>1477</v>
      </c>
      <c r="I47" s="10">
        <f>Дума_партии[[#This Row],[Число избирателей, внесенных в список избирателей на момент окончания голосования]]</f>
        <v>1477</v>
      </c>
      <c r="J47" s="1">
        <v>1400</v>
      </c>
      <c r="K47" s="1">
        <v>0</v>
      </c>
      <c r="L47" s="1">
        <v>399</v>
      </c>
      <c r="M47" s="1">
        <v>245</v>
      </c>
      <c r="N47" s="3">
        <f t="shared" si="26"/>
        <v>43.601895734597157</v>
      </c>
      <c r="O47" s="3">
        <f t="shared" si="27"/>
        <v>16.587677725118482</v>
      </c>
      <c r="P47" s="1">
        <v>756</v>
      </c>
      <c r="Q47" s="1">
        <v>245</v>
      </c>
      <c r="R47" s="1">
        <v>399</v>
      </c>
      <c r="S47" s="1">
        <f t="shared" si="28"/>
        <v>644</v>
      </c>
      <c r="T47" s="3">
        <f t="shared" si="29"/>
        <v>38.043478260869563</v>
      </c>
      <c r="U47" s="1">
        <v>13</v>
      </c>
      <c r="V47" s="3">
        <f t="shared" si="30"/>
        <v>2.018633540372671</v>
      </c>
      <c r="W47" s="1">
        <v>631</v>
      </c>
      <c r="X47" s="1">
        <v>0</v>
      </c>
      <c r="Y47" s="1">
        <v>0</v>
      </c>
      <c r="Z47" s="1">
        <v>134</v>
      </c>
      <c r="AA47" s="3">
        <f t="shared" si="31"/>
        <v>20.80745341614907</v>
      </c>
      <c r="AB47" s="1">
        <v>7</v>
      </c>
      <c r="AC47" s="3">
        <f t="shared" si="32"/>
        <v>1.0869565217391304</v>
      </c>
      <c r="AD47" s="1">
        <v>25</v>
      </c>
      <c r="AE47" s="3">
        <f t="shared" si="33"/>
        <v>3.8819875776397517</v>
      </c>
      <c r="AF47" s="1">
        <v>26</v>
      </c>
      <c r="AG47" s="3">
        <f t="shared" si="34"/>
        <v>4.0372670807453419</v>
      </c>
      <c r="AH47" s="1">
        <v>353</v>
      </c>
      <c r="AI47" s="3">
        <f t="shared" si="35"/>
        <v>54.813664596273291</v>
      </c>
      <c r="AJ47" s="1">
        <v>32</v>
      </c>
      <c r="AK47" s="3">
        <f t="shared" si="36"/>
        <v>4.9689440993788816</v>
      </c>
      <c r="AL47" s="1">
        <v>12</v>
      </c>
      <c r="AM47" s="3">
        <f t="shared" si="37"/>
        <v>1.8633540372670807</v>
      </c>
      <c r="AN47" s="1">
        <v>4</v>
      </c>
      <c r="AO47" s="3">
        <f t="shared" si="38"/>
        <v>0.6211180124223602</v>
      </c>
      <c r="AP47" s="1">
        <v>2</v>
      </c>
      <c r="AQ47" s="3">
        <f t="shared" si="39"/>
        <v>0.3105590062111801</v>
      </c>
      <c r="AR47" s="1">
        <v>10</v>
      </c>
      <c r="AS47" s="3">
        <f t="shared" si="40"/>
        <v>1.5527950310559007</v>
      </c>
      <c r="AT47" s="1">
        <v>2</v>
      </c>
      <c r="AU47" s="3">
        <f t="shared" si="41"/>
        <v>0.3105590062111801</v>
      </c>
      <c r="AV47" s="1">
        <v>7</v>
      </c>
      <c r="AW47" s="3">
        <f t="shared" si="42"/>
        <v>1.0869565217391304</v>
      </c>
      <c r="AX47" s="1">
        <v>5</v>
      </c>
      <c r="AY47" s="3">
        <f t="shared" si="43"/>
        <v>0.77639751552795033</v>
      </c>
      <c r="AZ47" s="1">
        <v>12</v>
      </c>
      <c r="BA47" s="3">
        <f t="shared" si="44"/>
        <v>1.8633540372670807</v>
      </c>
      <c r="BB47" t="s">
        <v>209</v>
      </c>
      <c r="BD47"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209.78787878787875</v>
      </c>
      <c r="BE47" s="13">
        <f>2*(Дума_партии[[#This Row],[5. Всероссийская политическая партия "ЕДИНАЯ РОССИЯ"]]-(AB$124/100)*Дума_партии[[#This Row],[Число действительных избирательных бюллетеней]])</f>
        <v>276.91999999999996</v>
      </c>
      <c r="BF47" s="13">
        <f>(Дума_партии[[#This Row],[Вброс]]+Дума_партии[[#This Row],[Перекладывание]])/2</f>
        <v>243.35393939393936</v>
      </c>
      <c r="BG47" s="13" t="s">
        <v>255</v>
      </c>
    </row>
    <row r="48" spans="1:59" x14ac:dyDescent="0.4">
      <c r="A48" s="1" t="s">
        <v>49</v>
      </c>
      <c r="B48" s="1" t="s">
        <v>50</v>
      </c>
      <c r="C48" s="1" t="s">
        <v>51</v>
      </c>
      <c r="D48" s="1" t="s">
        <v>102</v>
      </c>
      <c r="E48" s="1" t="s">
        <v>149</v>
      </c>
      <c r="F48" s="10">
        <f t="shared" ca="1" si="25"/>
        <v>1788</v>
      </c>
      <c r="G48" s="1" t="s">
        <v>231</v>
      </c>
      <c r="H48" s="1">
        <v>1218</v>
      </c>
      <c r="I48" s="10">
        <f>Дума_партии[[#This Row],[Число избирателей, внесенных в список избирателей на момент окончания голосования]]</f>
        <v>1218</v>
      </c>
      <c r="J48" s="1">
        <v>1200</v>
      </c>
      <c r="K48" s="1">
        <v>0</v>
      </c>
      <c r="L48" s="1">
        <v>423</v>
      </c>
      <c r="M48" s="1">
        <v>70</v>
      </c>
      <c r="N48" s="3">
        <f t="shared" si="26"/>
        <v>40.476190476190474</v>
      </c>
      <c r="O48" s="3">
        <f t="shared" si="27"/>
        <v>5.7471264367816088</v>
      </c>
      <c r="P48" s="1">
        <v>707</v>
      </c>
      <c r="Q48" s="1">
        <v>70</v>
      </c>
      <c r="R48" s="1">
        <v>423</v>
      </c>
      <c r="S48" s="1">
        <f t="shared" si="28"/>
        <v>493</v>
      </c>
      <c r="T48" s="3">
        <f t="shared" si="29"/>
        <v>14.198782961460447</v>
      </c>
      <c r="U48" s="1">
        <v>32</v>
      </c>
      <c r="V48" s="3">
        <f t="shared" si="30"/>
        <v>6.4908722109533468</v>
      </c>
      <c r="W48" s="1">
        <v>461</v>
      </c>
      <c r="X48" s="1">
        <v>0</v>
      </c>
      <c r="Y48" s="1">
        <v>0</v>
      </c>
      <c r="Z48" s="1">
        <v>113</v>
      </c>
      <c r="AA48" s="3">
        <f t="shared" si="31"/>
        <v>22.920892494929006</v>
      </c>
      <c r="AB48" s="1">
        <v>13</v>
      </c>
      <c r="AC48" s="3">
        <f t="shared" si="32"/>
        <v>2.6369168356997972</v>
      </c>
      <c r="AD48" s="1">
        <v>42</v>
      </c>
      <c r="AE48" s="3">
        <f t="shared" si="33"/>
        <v>8.5192697768762677</v>
      </c>
      <c r="AF48" s="1">
        <v>32</v>
      </c>
      <c r="AG48" s="3">
        <f t="shared" si="34"/>
        <v>6.4908722109533468</v>
      </c>
      <c r="AH48" s="1">
        <v>136</v>
      </c>
      <c r="AI48" s="3">
        <f t="shared" si="35"/>
        <v>27.586206896551722</v>
      </c>
      <c r="AJ48" s="1">
        <v>32</v>
      </c>
      <c r="AK48" s="3">
        <f t="shared" si="36"/>
        <v>6.4908722109533468</v>
      </c>
      <c r="AL48" s="1">
        <v>19</v>
      </c>
      <c r="AM48" s="3">
        <f t="shared" si="37"/>
        <v>3.8539553752535496</v>
      </c>
      <c r="AN48" s="1">
        <v>5</v>
      </c>
      <c r="AO48" s="3">
        <f t="shared" si="38"/>
        <v>1.0141987829614605</v>
      </c>
      <c r="AP48" s="1">
        <v>10</v>
      </c>
      <c r="AQ48" s="3">
        <f t="shared" si="39"/>
        <v>2.028397565922921</v>
      </c>
      <c r="AR48" s="1">
        <v>15</v>
      </c>
      <c r="AS48" s="3">
        <f t="shared" si="40"/>
        <v>3.0425963488843815</v>
      </c>
      <c r="AT48" s="1">
        <v>3</v>
      </c>
      <c r="AU48" s="3">
        <f t="shared" si="41"/>
        <v>0.60851926977687631</v>
      </c>
      <c r="AV48" s="1">
        <v>9</v>
      </c>
      <c r="AW48" s="3">
        <f t="shared" si="42"/>
        <v>1.8255578093306288</v>
      </c>
      <c r="AX48" s="1">
        <v>7</v>
      </c>
      <c r="AY48" s="3">
        <f t="shared" si="43"/>
        <v>1.4198782961460445</v>
      </c>
      <c r="AZ48" s="1">
        <v>25</v>
      </c>
      <c r="BA48" s="3">
        <f t="shared" si="44"/>
        <v>5.0709939148073024</v>
      </c>
      <c r="BB48" t="s">
        <v>209</v>
      </c>
      <c r="BD48"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-31.424242424242465</v>
      </c>
      <c r="BE48" s="13">
        <f>2*(Дума_партии[[#This Row],[5. Всероссийская политическая партия "ЕДИНАЯ РОССИЯ"]]-(AB$124/100)*Дума_партии[[#This Row],[Число действительных избирательных бюллетеней]])</f>
        <v>-41.480000000000018</v>
      </c>
      <c r="BF48" s="13">
        <f>(Дума_партии[[#This Row],[Вброс]]+Дума_партии[[#This Row],[Перекладывание]])/2</f>
        <v>-36.452121212121241</v>
      </c>
      <c r="BG48" s="13" t="s">
        <v>255</v>
      </c>
    </row>
    <row r="49" spans="1:59" x14ac:dyDescent="0.4">
      <c r="A49" s="1" t="s">
        <v>49</v>
      </c>
      <c r="B49" s="1" t="s">
        <v>50</v>
      </c>
      <c r="C49" s="1" t="s">
        <v>51</v>
      </c>
      <c r="D49" s="1" t="s">
        <v>102</v>
      </c>
      <c r="E49" s="1" t="s">
        <v>150</v>
      </c>
      <c r="F49" s="10">
        <f t="shared" ca="1" si="25"/>
        <v>1789</v>
      </c>
      <c r="G49" s="1" t="s">
        <v>231</v>
      </c>
      <c r="H49" s="1">
        <v>3186</v>
      </c>
      <c r="I49" s="10">
        <f>Дума_партии[[#This Row],[Число избирателей, внесенных в список избирателей на момент окончания голосования]]</f>
        <v>3186</v>
      </c>
      <c r="J49" s="1">
        <v>3000</v>
      </c>
      <c r="K49" s="1">
        <v>0</v>
      </c>
      <c r="L49" s="1">
        <v>1167</v>
      </c>
      <c r="M49" s="1">
        <v>7</v>
      </c>
      <c r="N49" s="3">
        <f t="shared" si="26"/>
        <v>36.848713119899564</v>
      </c>
      <c r="O49" s="3">
        <f t="shared" si="27"/>
        <v>0.21971123666038919</v>
      </c>
      <c r="P49" s="1">
        <v>1826</v>
      </c>
      <c r="Q49" s="1">
        <v>7</v>
      </c>
      <c r="R49" s="1">
        <v>1167</v>
      </c>
      <c r="S49" s="1">
        <f t="shared" si="28"/>
        <v>1174</v>
      </c>
      <c r="T49" s="3">
        <f t="shared" si="29"/>
        <v>0.59625212947189099</v>
      </c>
      <c r="U49" s="1">
        <v>23</v>
      </c>
      <c r="V49" s="3">
        <f t="shared" si="30"/>
        <v>1.959114139693356</v>
      </c>
      <c r="W49" s="1">
        <v>1151</v>
      </c>
      <c r="X49" s="1">
        <v>0</v>
      </c>
      <c r="Y49" s="1">
        <v>0</v>
      </c>
      <c r="Z49" s="1">
        <v>193</v>
      </c>
      <c r="AA49" s="3">
        <f t="shared" si="31"/>
        <v>16.439522998296422</v>
      </c>
      <c r="AB49" s="1">
        <v>27</v>
      </c>
      <c r="AC49" s="3">
        <f t="shared" si="32"/>
        <v>2.2998296422487221</v>
      </c>
      <c r="AD49" s="1">
        <v>56</v>
      </c>
      <c r="AE49" s="3">
        <f t="shared" si="33"/>
        <v>4.7700170357751279</v>
      </c>
      <c r="AF49" s="1">
        <v>66</v>
      </c>
      <c r="AG49" s="3">
        <f t="shared" si="34"/>
        <v>5.6218057921635438</v>
      </c>
      <c r="AH49" s="1">
        <v>589</v>
      </c>
      <c r="AI49" s="3">
        <f t="shared" si="35"/>
        <v>50.170357751277685</v>
      </c>
      <c r="AJ49" s="1">
        <v>55</v>
      </c>
      <c r="AK49" s="3">
        <f t="shared" si="36"/>
        <v>4.6848381601362865</v>
      </c>
      <c r="AL49" s="1">
        <v>40</v>
      </c>
      <c r="AM49" s="3">
        <f t="shared" si="37"/>
        <v>3.4071550255536627</v>
      </c>
      <c r="AN49" s="1">
        <v>21</v>
      </c>
      <c r="AO49" s="3">
        <f t="shared" si="38"/>
        <v>1.788756388415673</v>
      </c>
      <c r="AP49" s="1">
        <v>32</v>
      </c>
      <c r="AQ49" s="3">
        <f t="shared" si="39"/>
        <v>2.7257240204429301</v>
      </c>
      <c r="AR49" s="1">
        <v>21</v>
      </c>
      <c r="AS49" s="3">
        <f t="shared" si="40"/>
        <v>1.788756388415673</v>
      </c>
      <c r="AT49" s="1">
        <v>6</v>
      </c>
      <c r="AU49" s="3">
        <f t="shared" si="41"/>
        <v>0.51107325383304936</v>
      </c>
      <c r="AV49" s="1">
        <v>21</v>
      </c>
      <c r="AW49" s="3">
        <f t="shared" si="42"/>
        <v>1.788756388415673</v>
      </c>
      <c r="AX49" s="1">
        <v>8</v>
      </c>
      <c r="AY49" s="3">
        <f t="shared" si="43"/>
        <v>0.68143100511073251</v>
      </c>
      <c r="AZ49" s="1">
        <v>16</v>
      </c>
      <c r="BA49" s="3">
        <f t="shared" si="44"/>
        <v>1.362862010221465</v>
      </c>
      <c r="BB49" t="s">
        <v>209</v>
      </c>
      <c r="BD49"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299.48484848484844</v>
      </c>
      <c r="BE49" s="13">
        <f>2*(Дума_партии[[#This Row],[5. Всероссийская политическая партия "ЕДИНАЯ РОССИЯ"]]-(AB$124/100)*Дума_партии[[#This Row],[Число действительных избирательных бюллетеней]])</f>
        <v>395.31999999999994</v>
      </c>
      <c r="BF49" s="13">
        <f>(Дума_партии[[#This Row],[Вброс]]+Дума_партии[[#This Row],[Перекладывание]])/2</f>
        <v>347.40242424242422</v>
      </c>
      <c r="BG49" s="13" t="s">
        <v>255</v>
      </c>
    </row>
    <row r="50" spans="1:59" x14ac:dyDescent="0.4">
      <c r="A50" s="1" t="s">
        <v>49</v>
      </c>
      <c r="B50" s="1" t="s">
        <v>50</v>
      </c>
      <c r="C50" s="1" t="s">
        <v>51</v>
      </c>
      <c r="D50" s="1" t="s">
        <v>102</v>
      </c>
      <c r="E50" s="1" t="s">
        <v>151</v>
      </c>
      <c r="F50" s="10">
        <f t="shared" ca="1" si="25"/>
        <v>1790</v>
      </c>
      <c r="G50" s="1" t="s">
        <v>232</v>
      </c>
      <c r="H50" s="1">
        <v>1289</v>
      </c>
      <c r="I50" s="10">
        <f>Дума_партии[[#This Row],[Число избирателей, внесенных в список избирателей на момент окончания голосования]]</f>
        <v>1289</v>
      </c>
      <c r="J50" s="1">
        <v>1200</v>
      </c>
      <c r="K50" s="1">
        <v>0</v>
      </c>
      <c r="L50" s="1">
        <v>532</v>
      </c>
      <c r="M50" s="1">
        <v>33</v>
      </c>
      <c r="N50" s="3">
        <f t="shared" si="26"/>
        <v>43.832428238944921</v>
      </c>
      <c r="O50" s="3">
        <f t="shared" si="27"/>
        <v>2.5601241272304112</v>
      </c>
      <c r="P50" s="1">
        <v>635</v>
      </c>
      <c r="Q50" s="1">
        <v>33</v>
      </c>
      <c r="R50" s="1">
        <v>530</v>
      </c>
      <c r="S50" s="1">
        <f t="shared" si="28"/>
        <v>563</v>
      </c>
      <c r="T50" s="3">
        <f t="shared" si="29"/>
        <v>5.8614564831261102</v>
      </c>
      <c r="U50" s="1">
        <v>27</v>
      </c>
      <c r="V50" s="3">
        <f t="shared" si="30"/>
        <v>4.7957371225577266</v>
      </c>
      <c r="W50" s="1">
        <v>536</v>
      </c>
      <c r="X50" s="1">
        <v>0</v>
      </c>
      <c r="Y50" s="1">
        <v>0</v>
      </c>
      <c r="Z50" s="1">
        <v>160</v>
      </c>
      <c r="AA50" s="3">
        <f t="shared" si="31"/>
        <v>28.419182948490231</v>
      </c>
      <c r="AB50" s="1">
        <v>6</v>
      </c>
      <c r="AC50" s="3">
        <f t="shared" si="32"/>
        <v>1.0657193605683837</v>
      </c>
      <c r="AD50" s="1">
        <v>53</v>
      </c>
      <c r="AE50" s="3">
        <f t="shared" si="33"/>
        <v>9.4138543516873892</v>
      </c>
      <c r="AF50" s="1">
        <v>33</v>
      </c>
      <c r="AG50" s="3">
        <f t="shared" si="34"/>
        <v>5.8614564831261102</v>
      </c>
      <c r="AH50" s="1">
        <v>193</v>
      </c>
      <c r="AI50" s="3">
        <f t="shared" si="35"/>
        <v>34.280639431616343</v>
      </c>
      <c r="AJ50" s="1">
        <v>37</v>
      </c>
      <c r="AK50" s="3">
        <f t="shared" si="36"/>
        <v>6.571936056838366</v>
      </c>
      <c r="AL50" s="1">
        <v>4</v>
      </c>
      <c r="AM50" s="3">
        <f t="shared" si="37"/>
        <v>0.71047957371225579</v>
      </c>
      <c r="AN50" s="1">
        <v>2</v>
      </c>
      <c r="AO50" s="3">
        <f t="shared" si="38"/>
        <v>0.35523978685612789</v>
      </c>
      <c r="AP50" s="1">
        <v>4</v>
      </c>
      <c r="AQ50" s="3">
        <f t="shared" si="39"/>
        <v>0.71047957371225579</v>
      </c>
      <c r="AR50" s="1">
        <v>12</v>
      </c>
      <c r="AS50" s="3">
        <f t="shared" si="40"/>
        <v>2.1314387211367674</v>
      </c>
      <c r="AT50" s="1">
        <v>0</v>
      </c>
      <c r="AU50" s="3">
        <f t="shared" si="41"/>
        <v>0</v>
      </c>
      <c r="AV50" s="1">
        <v>6</v>
      </c>
      <c r="AW50" s="3">
        <f t="shared" si="42"/>
        <v>1.0657193605683837</v>
      </c>
      <c r="AX50" s="1">
        <v>5</v>
      </c>
      <c r="AY50" s="3">
        <f t="shared" si="43"/>
        <v>0.88809946714031973</v>
      </c>
      <c r="AZ50" s="1">
        <v>21</v>
      </c>
      <c r="BA50" s="3">
        <f t="shared" si="44"/>
        <v>3.7300177619893429</v>
      </c>
      <c r="BB50" t="s">
        <v>209</v>
      </c>
      <c r="BD50"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16.303030303030283</v>
      </c>
      <c r="BE50" s="13">
        <f>2*(Дума_партии[[#This Row],[5. Всероссийская политическая партия "ЕДИНАЯ РОССИЯ"]]-(AB$124/100)*Дума_партии[[#This Row],[Число действительных избирательных бюллетеней]])</f>
        <v>21.519999999999982</v>
      </c>
      <c r="BF50" s="13">
        <f>(Дума_партии[[#This Row],[Вброс]]+Дума_партии[[#This Row],[Перекладывание]])/2</f>
        <v>18.911515151515133</v>
      </c>
      <c r="BG50" s="13">
        <v>0</v>
      </c>
    </row>
    <row r="51" spans="1:59" x14ac:dyDescent="0.4">
      <c r="A51" s="1" t="s">
        <v>49</v>
      </c>
      <c r="B51" s="1" t="s">
        <v>50</v>
      </c>
      <c r="C51" s="1" t="s">
        <v>51</v>
      </c>
      <c r="D51" s="1" t="s">
        <v>102</v>
      </c>
      <c r="E51" s="1" t="s">
        <v>152</v>
      </c>
      <c r="F51" s="10">
        <f t="shared" ca="1" si="25"/>
        <v>1791</v>
      </c>
      <c r="G51" s="1" t="s">
        <v>232</v>
      </c>
      <c r="H51" s="1">
        <v>1259</v>
      </c>
      <c r="I51" s="10">
        <f>Дума_партии[[#This Row],[Число избирателей, внесенных в список избирателей на момент окончания голосования]]</f>
        <v>1259</v>
      </c>
      <c r="J51" s="1">
        <v>1200</v>
      </c>
      <c r="K51" s="1">
        <v>0</v>
      </c>
      <c r="L51" s="1">
        <v>416</v>
      </c>
      <c r="M51" s="1">
        <v>43</v>
      </c>
      <c r="N51" s="3">
        <f t="shared" si="26"/>
        <v>36.457505957108815</v>
      </c>
      <c r="O51" s="3">
        <f t="shared" si="27"/>
        <v>3.415409054805401</v>
      </c>
      <c r="P51" s="1">
        <v>741</v>
      </c>
      <c r="Q51" s="1">
        <v>43</v>
      </c>
      <c r="R51" s="1">
        <v>416</v>
      </c>
      <c r="S51" s="1">
        <f t="shared" si="28"/>
        <v>459</v>
      </c>
      <c r="T51" s="3">
        <f t="shared" si="29"/>
        <v>9.3681917211328969</v>
      </c>
      <c r="U51" s="1">
        <v>23</v>
      </c>
      <c r="V51" s="3">
        <f t="shared" si="30"/>
        <v>5.0108932461873641</v>
      </c>
      <c r="W51" s="1">
        <v>436</v>
      </c>
      <c r="X51" s="1">
        <v>0</v>
      </c>
      <c r="Y51" s="1">
        <v>0</v>
      </c>
      <c r="Z51" s="1">
        <v>128</v>
      </c>
      <c r="AA51" s="3">
        <f t="shared" si="31"/>
        <v>27.886710239651418</v>
      </c>
      <c r="AB51" s="1">
        <v>2</v>
      </c>
      <c r="AC51" s="3">
        <f t="shared" si="32"/>
        <v>0.4357298474945534</v>
      </c>
      <c r="AD51" s="1">
        <v>57</v>
      </c>
      <c r="AE51" s="3">
        <f t="shared" si="33"/>
        <v>12.418300653594772</v>
      </c>
      <c r="AF51" s="1">
        <v>28</v>
      </c>
      <c r="AG51" s="3">
        <f t="shared" si="34"/>
        <v>6.1002178649237475</v>
      </c>
      <c r="AH51" s="1">
        <v>124</v>
      </c>
      <c r="AI51" s="3">
        <f t="shared" si="35"/>
        <v>27.015250544662308</v>
      </c>
      <c r="AJ51" s="1">
        <v>43</v>
      </c>
      <c r="AK51" s="3">
        <f t="shared" si="36"/>
        <v>9.3681917211328969</v>
      </c>
      <c r="AL51" s="1">
        <v>3</v>
      </c>
      <c r="AM51" s="3">
        <f t="shared" si="37"/>
        <v>0.65359477124183007</v>
      </c>
      <c r="AN51" s="1">
        <v>0</v>
      </c>
      <c r="AO51" s="3">
        <f t="shared" si="38"/>
        <v>0</v>
      </c>
      <c r="AP51" s="1">
        <v>3</v>
      </c>
      <c r="AQ51" s="3">
        <f t="shared" si="39"/>
        <v>0.65359477124183007</v>
      </c>
      <c r="AR51" s="1">
        <v>12</v>
      </c>
      <c r="AS51" s="3">
        <f t="shared" si="40"/>
        <v>2.6143790849673203</v>
      </c>
      <c r="AT51" s="1">
        <v>0</v>
      </c>
      <c r="AU51" s="3">
        <f t="shared" si="41"/>
        <v>0</v>
      </c>
      <c r="AV51" s="1">
        <v>1</v>
      </c>
      <c r="AW51" s="3">
        <f t="shared" si="42"/>
        <v>0.2178649237472767</v>
      </c>
      <c r="AX51" s="1">
        <v>5</v>
      </c>
      <c r="AY51" s="3">
        <f t="shared" si="43"/>
        <v>1.0893246187363834</v>
      </c>
      <c r="AZ51" s="1">
        <v>30</v>
      </c>
      <c r="BA51" s="3">
        <f t="shared" si="44"/>
        <v>6.5359477124183005</v>
      </c>
      <c r="BB51" t="s">
        <v>209</v>
      </c>
      <c r="BD51"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-36.727272727272748</v>
      </c>
      <c r="BE51" s="13">
        <f>2*(Дума_партии[[#This Row],[5. Всероссийская политическая партия "ЕДИНАЯ РОССИЯ"]]-(AB$124/100)*Дума_партии[[#This Row],[Число действительных избирательных бюллетеней]])</f>
        <v>-48.480000000000018</v>
      </c>
      <c r="BF51" s="13">
        <f>(Дума_партии[[#This Row],[Вброс]]+Дума_партии[[#This Row],[Перекладывание]])/2</f>
        <v>-42.603636363636383</v>
      </c>
      <c r="BG51" s="13">
        <v>0</v>
      </c>
    </row>
    <row r="52" spans="1:59" x14ac:dyDescent="0.4">
      <c r="A52" s="1" t="s">
        <v>49</v>
      </c>
      <c r="B52" s="1" t="s">
        <v>50</v>
      </c>
      <c r="C52" s="1" t="s">
        <v>51</v>
      </c>
      <c r="D52" s="1" t="s">
        <v>102</v>
      </c>
      <c r="E52" s="1" t="s">
        <v>153</v>
      </c>
      <c r="F52" s="10">
        <f t="shared" ca="1" si="25"/>
        <v>1792</v>
      </c>
      <c r="G52" s="1" t="s">
        <v>233</v>
      </c>
      <c r="H52" s="1">
        <v>259</v>
      </c>
      <c r="I52" s="10">
        <f>Дума_партии[[#This Row],[Число избирателей, внесенных в список избирателей на момент окончания голосования]]</f>
        <v>259</v>
      </c>
      <c r="J52" s="1">
        <v>200</v>
      </c>
      <c r="K52" s="1">
        <v>0</v>
      </c>
      <c r="L52" s="1">
        <v>74</v>
      </c>
      <c r="M52" s="1">
        <v>30</v>
      </c>
      <c r="N52" s="3">
        <f t="shared" si="26"/>
        <v>40.154440154440152</v>
      </c>
      <c r="O52" s="3">
        <f t="shared" si="27"/>
        <v>11.583011583011583</v>
      </c>
      <c r="P52" s="1">
        <v>96</v>
      </c>
      <c r="Q52" s="1">
        <v>30</v>
      </c>
      <c r="R52" s="1">
        <v>74</v>
      </c>
      <c r="S52" s="1">
        <f t="shared" si="28"/>
        <v>104</v>
      </c>
      <c r="T52" s="3">
        <f t="shared" si="29"/>
        <v>28.846153846153847</v>
      </c>
      <c r="U52" s="1">
        <v>4</v>
      </c>
      <c r="V52" s="3">
        <f t="shared" si="30"/>
        <v>3.8461538461538463</v>
      </c>
      <c r="W52" s="1">
        <v>100</v>
      </c>
      <c r="X52" s="1">
        <v>0</v>
      </c>
      <c r="Y52" s="1">
        <v>0</v>
      </c>
      <c r="Z52" s="1">
        <v>34</v>
      </c>
      <c r="AA52" s="3">
        <f t="shared" si="31"/>
        <v>32.692307692307693</v>
      </c>
      <c r="AB52" s="1">
        <v>0</v>
      </c>
      <c r="AC52" s="3">
        <f t="shared" si="32"/>
        <v>0</v>
      </c>
      <c r="AD52" s="1">
        <v>11</v>
      </c>
      <c r="AE52" s="3">
        <f t="shared" si="33"/>
        <v>10.576923076923077</v>
      </c>
      <c r="AF52" s="1">
        <v>3</v>
      </c>
      <c r="AG52" s="3">
        <f t="shared" si="34"/>
        <v>2.8846153846153846</v>
      </c>
      <c r="AH52" s="1">
        <v>31</v>
      </c>
      <c r="AI52" s="3">
        <f t="shared" si="35"/>
        <v>29.807692307692307</v>
      </c>
      <c r="AJ52" s="1">
        <v>7</v>
      </c>
      <c r="AK52" s="3">
        <f t="shared" si="36"/>
        <v>6.7307692307692308</v>
      </c>
      <c r="AL52" s="1">
        <v>1</v>
      </c>
      <c r="AM52" s="3">
        <f t="shared" si="37"/>
        <v>0.96153846153846156</v>
      </c>
      <c r="AN52" s="1">
        <v>1</v>
      </c>
      <c r="AO52" s="3">
        <f t="shared" si="38"/>
        <v>0.96153846153846156</v>
      </c>
      <c r="AP52" s="1">
        <v>2</v>
      </c>
      <c r="AQ52" s="3">
        <f t="shared" si="39"/>
        <v>1.9230769230769231</v>
      </c>
      <c r="AR52" s="1">
        <v>3</v>
      </c>
      <c r="AS52" s="3">
        <f t="shared" si="40"/>
        <v>2.8846153846153846</v>
      </c>
      <c r="AT52" s="1">
        <v>0</v>
      </c>
      <c r="AU52" s="3">
        <f t="shared" si="41"/>
        <v>0</v>
      </c>
      <c r="AV52" s="1">
        <v>1</v>
      </c>
      <c r="AW52" s="3">
        <f t="shared" si="42"/>
        <v>0.96153846153846156</v>
      </c>
      <c r="AX52" s="1">
        <v>1</v>
      </c>
      <c r="AY52" s="3">
        <f t="shared" si="43"/>
        <v>0.96153846153846156</v>
      </c>
      <c r="AZ52" s="1">
        <v>5</v>
      </c>
      <c r="BA52" s="3">
        <f t="shared" si="44"/>
        <v>4.8076923076923075</v>
      </c>
      <c r="BB52" t="s">
        <v>209</v>
      </c>
      <c r="BD52"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-4.5454545454545539</v>
      </c>
      <c r="BE52" s="13">
        <f>2*(Дума_партии[[#This Row],[5. Всероссийская политическая партия "ЕДИНАЯ РОССИЯ"]]-(AB$124/100)*Дума_партии[[#This Row],[Число действительных избирательных бюллетеней]])</f>
        <v>-6</v>
      </c>
      <c r="BF52" s="13">
        <f>(Дума_партии[[#This Row],[Вброс]]+Дума_партии[[#This Row],[Перекладывание]])/2</f>
        <v>-5.2727272727272769</v>
      </c>
      <c r="BG52" s="13">
        <v>0</v>
      </c>
    </row>
    <row r="53" spans="1:59" x14ac:dyDescent="0.4">
      <c r="A53" s="1" t="s">
        <v>49</v>
      </c>
      <c r="B53" s="1" t="s">
        <v>50</v>
      </c>
      <c r="C53" s="1" t="s">
        <v>51</v>
      </c>
      <c r="D53" s="1" t="s">
        <v>102</v>
      </c>
      <c r="E53" s="1" t="s">
        <v>154</v>
      </c>
      <c r="F53" s="10">
        <f t="shared" ca="1" si="25"/>
        <v>1793</v>
      </c>
      <c r="G53" s="1" t="s">
        <v>234</v>
      </c>
      <c r="H53" s="1">
        <v>192</v>
      </c>
      <c r="I53" s="10">
        <f>Дума_партии[[#This Row],[Число избирателей, внесенных в список избирателей на момент окончания голосования]]</f>
        <v>192</v>
      </c>
      <c r="J53" s="1">
        <v>150</v>
      </c>
      <c r="K53" s="1">
        <v>0</v>
      </c>
      <c r="L53" s="1">
        <v>76</v>
      </c>
      <c r="M53" s="1">
        <v>17</v>
      </c>
      <c r="N53" s="3">
        <f t="shared" si="26"/>
        <v>48.4375</v>
      </c>
      <c r="O53" s="3">
        <f t="shared" si="27"/>
        <v>8.8541666666666661</v>
      </c>
      <c r="P53" s="1">
        <v>57</v>
      </c>
      <c r="Q53" s="1">
        <v>17</v>
      </c>
      <c r="R53" s="1">
        <v>76</v>
      </c>
      <c r="S53" s="1">
        <f t="shared" si="28"/>
        <v>93</v>
      </c>
      <c r="T53" s="3">
        <f t="shared" si="29"/>
        <v>18.27956989247312</v>
      </c>
      <c r="U53" s="1">
        <v>3</v>
      </c>
      <c r="V53" s="3">
        <f t="shared" si="30"/>
        <v>3.225806451612903</v>
      </c>
      <c r="W53" s="1">
        <v>90</v>
      </c>
      <c r="X53" s="1">
        <v>0</v>
      </c>
      <c r="Y53" s="1">
        <v>0</v>
      </c>
      <c r="Z53" s="1">
        <v>33</v>
      </c>
      <c r="AA53" s="3">
        <f t="shared" si="31"/>
        <v>35.483870967741936</v>
      </c>
      <c r="AB53" s="1">
        <v>2</v>
      </c>
      <c r="AC53" s="3">
        <f t="shared" si="32"/>
        <v>2.150537634408602</v>
      </c>
      <c r="AD53" s="1">
        <v>11</v>
      </c>
      <c r="AE53" s="3">
        <f t="shared" si="33"/>
        <v>11.827956989247312</v>
      </c>
      <c r="AF53" s="1">
        <v>3</v>
      </c>
      <c r="AG53" s="3">
        <f t="shared" si="34"/>
        <v>3.225806451612903</v>
      </c>
      <c r="AH53" s="1">
        <v>29</v>
      </c>
      <c r="AI53" s="3">
        <f t="shared" si="35"/>
        <v>31.182795698924732</v>
      </c>
      <c r="AJ53" s="1">
        <v>5</v>
      </c>
      <c r="AK53" s="3">
        <f t="shared" si="36"/>
        <v>5.376344086021505</v>
      </c>
      <c r="AL53" s="1">
        <v>0</v>
      </c>
      <c r="AM53" s="3">
        <f t="shared" si="37"/>
        <v>0</v>
      </c>
      <c r="AN53" s="1">
        <v>0</v>
      </c>
      <c r="AO53" s="3">
        <f t="shared" si="38"/>
        <v>0</v>
      </c>
      <c r="AP53" s="1">
        <v>2</v>
      </c>
      <c r="AQ53" s="3">
        <f t="shared" si="39"/>
        <v>2.150537634408602</v>
      </c>
      <c r="AR53" s="1">
        <v>2</v>
      </c>
      <c r="AS53" s="3">
        <f t="shared" si="40"/>
        <v>2.150537634408602</v>
      </c>
      <c r="AT53" s="1">
        <v>0</v>
      </c>
      <c r="AU53" s="3">
        <f t="shared" si="41"/>
        <v>0</v>
      </c>
      <c r="AV53" s="1">
        <v>0</v>
      </c>
      <c r="AW53" s="3">
        <f t="shared" si="42"/>
        <v>0</v>
      </c>
      <c r="AX53" s="1">
        <v>0</v>
      </c>
      <c r="AY53" s="3">
        <f t="shared" si="43"/>
        <v>0</v>
      </c>
      <c r="AZ53" s="1">
        <v>3</v>
      </c>
      <c r="BA53" s="3">
        <f t="shared" si="44"/>
        <v>3.225806451612903</v>
      </c>
      <c r="BB53" t="s">
        <v>209</v>
      </c>
      <c r="BD53"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-2.4242424242424292</v>
      </c>
      <c r="BE53" s="13">
        <f>2*(Дума_партии[[#This Row],[5. Всероссийская политическая партия "ЕДИНАЯ РОССИЯ"]]-(AB$124/100)*Дума_партии[[#This Row],[Число действительных избирательных бюллетеней]])</f>
        <v>-3.2000000000000028</v>
      </c>
      <c r="BF53" s="13">
        <f>(Дума_партии[[#This Row],[Вброс]]+Дума_партии[[#This Row],[Перекладывание]])/2</f>
        <v>-2.812121212121216</v>
      </c>
      <c r="BG53" s="13">
        <v>0</v>
      </c>
    </row>
    <row r="54" spans="1:59" x14ac:dyDescent="0.4">
      <c r="A54" s="1" t="s">
        <v>49</v>
      </c>
      <c r="B54" s="1" t="s">
        <v>50</v>
      </c>
      <c r="C54" s="1" t="s">
        <v>51</v>
      </c>
      <c r="D54" s="1" t="s">
        <v>102</v>
      </c>
      <c r="E54" s="1" t="s">
        <v>155</v>
      </c>
      <c r="F54" s="10">
        <f t="shared" ca="1" si="25"/>
        <v>1794</v>
      </c>
      <c r="G54" s="1" t="s">
        <v>232</v>
      </c>
      <c r="H54" s="1">
        <v>332</v>
      </c>
      <c r="I54" s="10">
        <f>Дума_партии[[#This Row],[Число избирателей, внесенных в список избирателей на момент окончания голосования]]</f>
        <v>332</v>
      </c>
      <c r="J54" s="1">
        <v>300</v>
      </c>
      <c r="K54" s="1">
        <v>0</v>
      </c>
      <c r="L54" s="1">
        <v>105</v>
      </c>
      <c r="M54" s="1">
        <v>17</v>
      </c>
      <c r="N54" s="3">
        <f t="shared" si="26"/>
        <v>36.746987951807228</v>
      </c>
      <c r="O54" s="3">
        <f t="shared" si="27"/>
        <v>5.1204819277108431</v>
      </c>
      <c r="P54" s="1">
        <v>178</v>
      </c>
      <c r="Q54" s="1">
        <v>17</v>
      </c>
      <c r="R54" s="1">
        <v>105</v>
      </c>
      <c r="S54" s="1">
        <f t="shared" si="28"/>
        <v>122</v>
      </c>
      <c r="T54" s="3">
        <f t="shared" si="29"/>
        <v>13.934426229508198</v>
      </c>
      <c r="U54" s="1">
        <v>7</v>
      </c>
      <c r="V54" s="3">
        <f t="shared" si="30"/>
        <v>5.7377049180327866</v>
      </c>
      <c r="W54" s="1">
        <v>115</v>
      </c>
      <c r="X54" s="1">
        <v>0</v>
      </c>
      <c r="Y54" s="1">
        <v>0</v>
      </c>
      <c r="Z54" s="1">
        <v>45</v>
      </c>
      <c r="AA54" s="3">
        <f t="shared" si="31"/>
        <v>36.885245901639344</v>
      </c>
      <c r="AB54" s="1">
        <v>0</v>
      </c>
      <c r="AC54" s="3">
        <f t="shared" si="32"/>
        <v>0</v>
      </c>
      <c r="AD54" s="1">
        <v>11</v>
      </c>
      <c r="AE54" s="3">
        <f t="shared" si="33"/>
        <v>9.0163934426229506</v>
      </c>
      <c r="AF54" s="1">
        <v>4</v>
      </c>
      <c r="AG54" s="3">
        <f t="shared" si="34"/>
        <v>3.278688524590164</v>
      </c>
      <c r="AH54" s="1">
        <v>32</v>
      </c>
      <c r="AI54" s="3">
        <f t="shared" si="35"/>
        <v>26.229508196721312</v>
      </c>
      <c r="AJ54" s="1">
        <v>9</v>
      </c>
      <c r="AK54" s="3">
        <f t="shared" si="36"/>
        <v>7.3770491803278686</v>
      </c>
      <c r="AL54" s="1">
        <v>0</v>
      </c>
      <c r="AM54" s="3">
        <f t="shared" si="37"/>
        <v>0</v>
      </c>
      <c r="AN54" s="1">
        <v>0</v>
      </c>
      <c r="AO54" s="3">
        <f t="shared" si="38"/>
        <v>0</v>
      </c>
      <c r="AP54" s="1">
        <v>3</v>
      </c>
      <c r="AQ54" s="3">
        <f t="shared" si="39"/>
        <v>2.459016393442623</v>
      </c>
      <c r="AR54" s="1">
        <v>4</v>
      </c>
      <c r="AS54" s="3">
        <f t="shared" si="40"/>
        <v>3.278688524590164</v>
      </c>
      <c r="AT54" s="1">
        <v>0</v>
      </c>
      <c r="AU54" s="3">
        <f t="shared" si="41"/>
        <v>0</v>
      </c>
      <c r="AV54" s="1">
        <v>0</v>
      </c>
      <c r="AW54" s="3">
        <f t="shared" si="42"/>
        <v>0</v>
      </c>
      <c r="AX54" s="1">
        <v>4</v>
      </c>
      <c r="AY54" s="3">
        <f t="shared" si="43"/>
        <v>3.278688524590164</v>
      </c>
      <c r="AZ54" s="1">
        <v>3</v>
      </c>
      <c r="BA54" s="3">
        <f t="shared" si="44"/>
        <v>2.459016393442623</v>
      </c>
      <c r="BB54" t="s">
        <v>209</v>
      </c>
      <c r="BD54"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-10.757575757575765</v>
      </c>
      <c r="BE54" s="13">
        <f>2*(Дума_партии[[#This Row],[5. Всероссийская политическая партия "ЕДИНАЯ РОССИЯ"]]-(AB$124/100)*Дума_партии[[#This Row],[Число действительных избирательных бюллетеней]])</f>
        <v>-14.200000000000003</v>
      </c>
      <c r="BF54" s="13">
        <f>(Дума_партии[[#This Row],[Вброс]]+Дума_партии[[#This Row],[Перекладывание]])/2</f>
        <v>-12.478787878787884</v>
      </c>
      <c r="BG54" s="13">
        <v>0</v>
      </c>
    </row>
    <row r="55" spans="1:59" x14ac:dyDescent="0.4">
      <c r="A55" s="1" t="s">
        <v>49</v>
      </c>
      <c r="B55" s="1" t="s">
        <v>50</v>
      </c>
      <c r="C55" s="1" t="s">
        <v>51</v>
      </c>
      <c r="D55" s="1" t="s">
        <v>102</v>
      </c>
      <c r="E55" s="1" t="s">
        <v>156</v>
      </c>
      <c r="F55" s="10">
        <f t="shared" ca="1" si="25"/>
        <v>1795</v>
      </c>
      <c r="G55" s="1" t="s">
        <v>235</v>
      </c>
      <c r="H55" s="1">
        <v>1524</v>
      </c>
      <c r="I55" s="10">
        <f>Дума_партии[[#This Row],[Число избирателей, внесенных в список избирателей на момент окончания голосования]]</f>
        <v>1524</v>
      </c>
      <c r="J55" s="1">
        <v>1500</v>
      </c>
      <c r="K55" s="1">
        <v>0</v>
      </c>
      <c r="L55" s="1">
        <v>491</v>
      </c>
      <c r="M55" s="1">
        <v>9</v>
      </c>
      <c r="N55" s="3">
        <f t="shared" si="26"/>
        <v>32.808398950131235</v>
      </c>
      <c r="O55" s="3">
        <f t="shared" si="27"/>
        <v>0.59055118110236215</v>
      </c>
      <c r="P55" s="1">
        <v>1000</v>
      </c>
      <c r="Q55" s="1">
        <v>9</v>
      </c>
      <c r="R55" s="1">
        <v>491</v>
      </c>
      <c r="S55" s="1">
        <f t="shared" si="28"/>
        <v>500</v>
      </c>
      <c r="T55" s="3">
        <f t="shared" si="29"/>
        <v>1.8</v>
      </c>
      <c r="U55" s="1">
        <v>24</v>
      </c>
      <c r="V55" s="3">
        <f t="shared" si="30"/>
        <v>4.8</v>
      </c>
      <c r="W55" s="1">
        <v>476</v>
      </c>
      <c r="X55" s="1">
        <v>0</v>
      </c>
      <c r="Y55" s="1">
        <v>0</v>
      </c>
      <c r="Z55" s="1">
        <v>121</v>
      </c>
      <c r="AA55" s="3">
        <f t="shared" si="31"/>
        <v>24.2</v>
      </c>
      <c r="AB55" s="1">
        <v>6</v>
      </c>
      <c r="AC55" s="3">
        <f t="shared" si="32"/>
        <v>1.2</v>
      </c>
      <c r="AD55" s="1">
        <v>65</v>
      </c>
      <c r="AE55" s="3">
        <f t="shared" si="33"/>
        <v>13</v>
      </c>
      <c r="AF55" s="1">
        <v>43</v>
      </c>
      <c r="AG55" s="3">
        <f t="shared" si="34"/>
        <v>8.6</v>
      </c>
      <c r="AH55" s="1">
        <v>160</v>
      </c>
      <c r="AI55" s="3">
        <f t="shared" si="35"/>
        <v>32</v>
      </c>
      <c r="AJ55" s="1">
        <v>30</v>
      </c>
      <c r="AK55" s="3">
        <f t="shared" si="36"/>
        <v>6</v>
      </c>
      <c r="AL55" s="1">
        <v>7</v>
      </c>
      <c r="AM55" s="3">
        <f t="shared" si="37"/>
        <v>1.4</v>
      </c>
      <c r="AN55" s="1">
        <v>1</v>
      </c>
      <c r="AO55" s="3">
        <f t="shared" si="38"/>
        <v>0.2</v>
      </c>
      <c r="AP55" s="1">
        <v>4</v>
      </c>
      <c r="AQ55" s="3">
        <f t="shared" si="39"/>
        <v>0.8</v>
      </c>
      <c r="AR55" s="1">
        <v>7</v>
      </c>
      <c r="AS55" s="3">
        <f t="shared" si="40"/>
        <v>1.4</v>
      </c>
      <c r="AT55" s="1">
        <v>0</v>
      </c>
      <c r="AU55" s="3">
        <f t="shared" si="41"/>
        <v>0</v>
      </c>
      <c r="AV55" s="1">
        <v>5</v>
      </c>
      <c r="AW55" s="3">
        <f t="shared" si="42"/>
        <v>1</v>
      </c>
      <c r="AX55" s="1">
        <v>8</v>
      </c>
      <c r="AY55" s="3">
        <f t="shared" si="43"/>
        <v>1.6</v>
      </c>
      <c r="AZ55" s="1">
        <v>19</v>
      </c>
      <c r="BA55" s="3">
        <f t="shared" si="44"/>
        <v>3.8</v>
      </c>
      <c r="BB55" t="s">
        <v>209</v>
      </c>
      <c r="BD55"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-2.7878787878788103</v>
      </c>
      <c r="BE55" s="13">
        <f>2*(Дума_партии[[#This Row],[5. Всероссийская политическая партия "ЕДИНАЯ РОССИЯ"]]-(AB$124/100)*Дума_партии[[#This Row],[Число действительных избирательных бюллетеней]])</f>
        <v>-3.6800000000000068</v>
      </c>
      <c r="BF55" s="13">
        <f>(Дума_партии[[#This Row],[Вброс]]+Дума_партии[[#This Row],[Перекладывание]])/2</f>
        <v>-3.2339393939394085</v>
      </c>
      <c r="BG55" s="13" t="s">
        <v>255</v>
      </c>
    </row>
    <row r="56" spans="1:59" x14ac:dyDescent="0.4">
      <c r="A56" s="1" t="s">
        <v>49</v>
      </c>
      <c r="B56" s="1" t="s">
        <v>50</v>
      </c>
      <c r="C56" s="1" t="s">
        <v>51</v>
      </c>
      <c r="D56" s="1" t="s">
        <v>102</v>
      </c>
      <c r="E56" s="1" t="s">
        <v>157</v>
      </c>
      <c r="F56" s="10">
        <f t="shared" ca="1" si="25"/>
        <v>1796</v>
      </c>
      <c r="G56" s="1" t="s">
        <v>235</v>
      </c>
      <c r="H56" s="1">
        <v>1574</v>
      </c>
      <c r="I56" s="10">
        <f>Дума_партии[[#This Row],[Число избирателей, внесенных в список избирателей на момент окончания голосования]]</f>
        <v>1574</v>
      </c>
      <c r="J56" s="1">
        <v>1600</v>
      </c>
      <c r="K56" s="1">
        <v>0</v>
      </c>
      <c r="L56" s="1">
        <v>553</v>
      </c>
      <c r="M56" s="1">
        <v>13</v>
      </c>
      <c r="N56" s="3">
        <f t="shared" si="26"/>
        <v>35.959339263024141</v>
      </c>
      <c r="O56" s="3">
        <f t="shared" si="27"/>
        <v>0.82592121982210931</v>
      </c>
      <c r="P56" s="1">
        <v>1034</v>
      </c>
      <c r="Q56" s="1">
        <v>13</v>
      </c>
      <c r="R56" s="1">
        <v>553</v>
      </c>
      <c r="S56" s="1">
        <f t="shared" si="28"/>
        <v>566</v>
      </c>
      <c r="T56" s="3">
        <f t="shared" si="29"/>
        <v>2.2968197879858656</v>
      </c>
      <c r="U56" s="1">
        <v>21</v>
      </c>
      <c r="V56" s="3">
        <f t="shared" si="30"/>
        <v>3.7102473498233217</v>
      </c>
      <c r="W56" s="1">
        <v>545</v>
      </c>
      <c r="X56" s="1">
        <v>0</v>
      </c>
      <c r="Y56" s="1">
        <v>0</v>
      </c>
      <c r="Z56" s="1">
        <v>132</v>
      </c>
      <c r="AA56" s="3">
        <f t="shared" si="31"/>
        <v>23.32155477031802</v>
      </c>
      <c r="AB56" s="1">
        <v>8</v>
      </c>
      <c r="AC56" s="3">
        <f t="shared" si="32"/>
        <v>1.4134275618374559</v>
      </c>
      <c r="AD56" s="1">
        <v>71</v>
      </c>
      <c r="AE56" s="3">
        <f t="shared" si="33"/>
        <v>12.544169611307421</v>
      </c>
      <c r="AF56" s="1">
        <v>33</v>
      </c>
      <c r="AG56" s="3">
        <f t="shared" si="34"/>
        <v>5.830388692579505</v>
      </c>
      <c r="AH56" s="1">
        <v>198</v>
      </c>
      <c r="AI56" s="3">
        <f t="shared" si="35"/>
        <v>34.982332155477032</v>
      </c>
      <c r="AJ56" s="1">
        <v>41</v>
      </c>
      <c r="AK56" s="3">
        <f t="shared" si="36"/>
        <v>7.2438162544169611</v>
      </c>
      <c r="AL56" s="1">
        <v>12</v>
      </c>
      <c r="AM56" s="3">
        <f t="shared" si="37"/>
        <v>2.1201413427561837</v>
      </c>
      <c r="AN56" s="1">
        <v>1</v>
      </c>
      <c r="AO56" s="3">
        <f t="shared" si="38"/>
        <v>0.17667844522968199</v>
      </c>
      <c r="AP56" s="1">
        <v>3</v>
      </c>
      <c r="AQ56" s="3">
        <f t="shared" si="39"/>
        <v>0.53003533568904593</v>
      </c>
      <c r="AR56" s="1">
        <v>11</v>
      </c>
      <c r="AS56" s="3">
        <f t="shared" si="40"/>
        <v>1.9434628975265018</v>
      </c>
      <c r="AT56" s="1">
        <v>0</v>
      </c>
      <c r="AU56" s="3">
        <f t="shared" si="41"/>
        <v>0</v>
      </c>
      <c r="AV56" s="1">
        <v>6</v>
      </c>
      <c r="AW56" s="3">
        <f t="shared" si="42"/>
        <v>1.0600706713780919</v>
      </c>
      <c r="AX56" s="1">
        <v>6</v>
      </c>
      <c r="AY56" s="3">
        <f t="shared" si="43"/>
        <v>1.0600706713780919</v>
      </c>
      <c r="AZ56" s="1">
        <v>23</v>
      </c>
      <c r="BA56" s="3">
        <f t="shared" si="44"/>
        <v>4.0636042402826851</v>
      </c>
      <c r="BB56" t="s">
        <v>209</v>
      </c>
      <c r="BD56"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19.242424242424221</v>
      </c>
      <c r="BE56" s="13">
        <f>2*(Дума_партии[[#This Row],[5. Всероссийская политическая партия "ЕДИНАЯ РОССИЯ"]]-(AB$124/100)*Дума_партии[[#This Row],[Число действительных избирательных бюллетеней]])</f>
        <v>25.399999999999977</v>
      </c>
      <c r="BF56" s="13">
        <f>(Дума_партии[[#This Row],[Вброс]]+Дума_партии[[#This Row],[Перекладывание]])/2</f>
        <v>22.321212121212099</v>
      </c>
      <c r="BG56" s="13" t="s">
        <v>255</v>
      </c>
    </row>
    <row r="57" spans="1:59" x14ac:dyDescent="0.4">
      <c r="A57" s="1" t="s">
        <v>49</v>
      </c>
      <c r="B57" s="1" t="s">
        <v>50</v>
      </c>
      <c r="C57" s="1" t="s">
        <v>51</v>
      </c>
      <c r="D57" s="1" t="s">
        <v>102</v>
      </c>
      <c r="E57" s="1" t="s">
        <v>158</v>
      </c>
      <c r="F57" s="10">
        <f t="shared" ca="1" si="25"/>
        <v>1797</v>
      </c>
      <c r="G57" s="1" t="s">
        <v>235</v>
      </c>
      <c r="H57" s="1">
        <v>1221</v>
      </c>
      <c r="I57" s="10">
        <f>Дума_партии[[#This Row],[Число избирателей, внесенных в список избирателей на момент окончания голосования]]</f>
        <v>1221</v>
      </c>
      <c r="J57" s="1">
        <v>1100</v>
      </c>
      <c r="K57" s="1">
        <v>0</v>
      </c>
      <c r="L57" s="1">
        <v>549</v>
      </c>
      <c r="M57" s="1">
        <v>8</v>
      </c>
      <c r="N57" s="3">
        <f t="shared" si="26"/>
        <v>45.618345618345622</v>
      </c>
      <c r="O57" s="3">
        <f t="shared" si="27"/>
        <v>0.65520065520065518</v>
      </c>
      <c r="P57" s="1">
        <v>543</v>
      </c>
      <c r="Q57" s="1">
        <v>8</v>
      </c>
      <c r="R57" s="1">
        <v>549</v>
      </c>
      <c r="S57" s="1">
        <f t="shared" si="28"/>
        <v>557</v>
      </c>
      <c r="T57" s="3">
        <f t="shared" si="29"/>
        <v>1.4362657091561939</v>
      </c>
      <c r="U57" s="1">
        <v>10</v>
      </c>
      <c r="V57" s="3">
        <f t="shared" si="30"/>
        <v>1.7953321364452424</v>
      </c>
      <c r="W57" s="1">
        <v>547</v>
      </c>
      <c r="X57" s="1">
        <v>0</v>
      </c>
      <c r="Y57" s="1">
        <v>0</v>
      </c>
      <c r="Z57" s="1">
        <v>105</v>
      </c>
      <c r="AA57" s="3">
        <f t="shared" si="31"/>
        <v>18.850987432675044</v>
      </c>
      <c r="AB57" s="1">
        <v>11</v>
      </c>
      <c r="AC57" s="3">
        <f t="shared" si="32"/>
        <v>1.9748653500897666</v>
      </c>
      <c r="AD57" s="1">
        <v>68</v>
      </c>
      <c r="AE57" s="3">
        <f t="shared" si="33"/>
        <v>12.208258527827649</v>
      </c>
      <c r="AF57" s="1">
        <v>44</v>
      </c>
      <c r="AG57" s="3">
        <f t="shared" si="34"/>
        <v>7.8994614003590664</v>
      </c>
      <c r="AH57" s="1">
        <v>202</v>
      </c>
      <c r="AI57" s="3">
        <f t="shared" si="35"/>
        <v>36.265709156193893</v>
      </c>
      <c r="AJ57" s="1">
        <v>42</v>
      </c>
      <c r="AK57" s="3">
        <f t="shared" si="36"/>
        <v>7.5403949730700184</v>
      </c>
      <c r="AL57" s="1">
        <v>13</v>
      </c>
      <c r="AM57" s="3">
        <f t="shared" si="37"/>
        <v>2.3339317773788153</v>
      </c>
      <c r="AN57" s="1">
        <v>7</v>
      </c>
      <c r="AO57" s="3">
        <f t="shared" si="38"/>
        <v>1.2567324955116697</v>
      </c>
      <c r="AP57" s="1">
        <v>6</v>
      </c>
      <c r="AQ57" s="3">
        <f t="shared" si="39"/>
        <v>1.0771992818671454</v>
      </c>
      <c r="AR57" s="1">
        <v>7</v>
      </c>
      <c r="AS57" s="3">
        <f t="shared" si="40"/>
        <v>1.2567324955116697</v>
      </c>
      <c r="AT57" s="1">
        <v>2</v>
      </c>
      <c r="AU57" s="3">
        <f t="shared" si="41"/>
        <v>0.35906642728904847</v>
      </c>
      <c r="AV57" s="1">
        <v>5</v>
      </c>
      <c r="AW57" s="3">
        <f t="shared" si="42"/>
        <v>0.89766606822262118</v>
      </c>
      <c r="AX57" s="1">
        <v>8</v>
      </c>
      <c r="AY57" s="3">
        <f t="shared" si="43"/>
        <v>1.4362657091561939</v>
      </c>
      <c r="AZ57" s="1">
        <v>27</v>
      </c>
      <c r="BA57" s="3">
        <f t="shared" si="44"/>
        <v>4.8473967684021542</v>
      </c>
      <c r="BB57" t="s">
        <v>209</v>
      </c>
      <c r="BD57"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24.272727272727252</v>
      </c>
      <c r="BE57" s="13">
        <f>2*(Дума_партии[[#This Row],[5. Всероссийская политическая партия "ЕДИНАЯ РОССИЯ"]]-(AB$124/100)*Дума_партии[[#This Row],[Число действительных избирательных бюллетеней]])</f>
        <v>32.039999999999964</v>
      </c>
      <c r="BF57" s="13">
        <f>(Дума_партии[[#This Row],[Вброс]]+Дума_партии[[#This Row],[Перекладывание]])/2</f>
        <v>28.156363636363608</v>
      </c>
      <c r="BG57" s="13" t="s">
        <v>255</v>
      </c>
    </row>
    <row r="58" spans="1:59" x14ac:dyDescent="0.4">
      <c r="A58" s="1" t="s">
        <v>49</v>
      </c>
      <c r="B58" s="1" t="s">
        <v>50</v>
      </c>
      <c r="C58" s="1" t="s">
        <v>51</v>
      </c>
      <c r="D58" s="1" t="s">
        <v>102</v>
      </c>
      <c r="E58" s="1" t="s">
        <v>159</v>
      </c>
      <c r="F58" s="10">
        <f t="shared" ca="1" si="25"/>
        <v>1798</v>
      </c>
      <c r="G58" s="1" t="s">
        <v>235</v>
      </c>
      <c r="H58" s="1">
        <v>1941</v>
      </c>
      <c r="I58" s="10">
        <f>Дума_партии[[#This Row],[Число избирателей, внесенных в список избирателей на момент окончания голосования]]</f>
        <v>1941</v>
      </c>
      <c r="J58" s="1">
        <v>1800</v>
      </c>
      <c r="K58" s="1">
        <v>0</v>
      </c>
      <c r="L58" s="1">
        <v>1154</v>
      </c>
      <c r="M58" s="1">
        <v>3</v>
      </c>
      <c r="N58" s="3">
        <f t="shared" si="26"/>
        <v>59.608449252962387</v>
      </c>
      <c r="O58" s="3">
        <f t="shared" si="27"/>
        <v>0.15455950540958269</v>
      </c>
      <c r="P58" s="1">
        <v>643</v>
      </c>
      <c r="Q58" s="1">
        <v>3</v>
      </c>
      <c r="R58" s="1">
        <v>1154</v>
      </c>
      <c r="S58" s="1">
        <f t="shared" si="28"/>
        <v>1157</v>
      </c>
      <c r="T58" s="3">
        <f t="shared" si="29"/>
        <v>0.25929127052722556</v>
      </c>
      <c r="U58" s="1">
        <v>25</v>
      </c>
      <c r="V58" s="3">
        <f t="shared" si="30"/>
        <v>2.1607605877268798</v>
      </c>
      <c r="W58" s="1">
        <v>1132</v>
      </c>
      <c r="X58" s="1">
        <v>0</v>
      </c>
      <c r="Y58" s="1">
        <v>0</v>
      </c>
      <c r="Z58" s="1">
        <v>149</v>
      </c>
      <c r="AA58" s="3">
        <f t="shared" si="31"/>
        <v>12.878133102852203</v>
      </c>
      <c r="AB58" s="1">
        <v>20</v>
      </c>
      <c r="AC58" s="3">
        <f t="shared" si="32"/>
        <v>1.7286084701815039</v>
      </c>
      <c r="AD58" s="1">
        <v>155</v>
      </c>
      <c r="AE58" s="3">
        <f t="shared" si="33"/>
        <v>13.396715643906655</v>
      </c>
      <c r="AF58" s="1">
        <v>43</v>
      </c>
      <c r="AG58" s="3">
        <f t="shared" si="34"/>
        <v>3.7165082108902334</v>
      </c>
      <c r="AH58" s="1">
        <v>601</v>
      </c>
      <c r="AI58" s="3">
        <f t="shared" si="35"/>
        <v>51.944684528954191</v>
      </c>
      <c r="AJ58" s="1">
        <v>47</v>
      </c>
      <c r="AK58" s="3">
        <f t="shared" si="36"/>
        <v>4.062229904926534</v>
      </c>
      <c r="AL58" s="1">
        <v>40</v>
      </c>
      <c r="AM58" s="3">
        <f t="shared" si="37"/>
        <v>3.4572169403630078</v>
      </c>
      <c r="AN58" s="1">
        <v>1</v>
      </c>
      <c r="AO58" s="3">
        <f t="shared" si="38"/>
        <v>8.6430423509075191E-2</v>
      </c>
      <c r="AP58" s="1">
        <v>9</v>
      </c>
      <c r="AQ58" s="3">
        <f t="shared" si="39"/>
        <v>0.77787381158167679</v>
      </c>
      <c r="AR58" s="1">
        <v>13</v>
      </c>
      <c r="AS58" s="3">
        <f t="shared" si="40"/>
        <v>1.1235955056179776</v>
      </c>
      <c r="AT58" s="1">
        <v>5</v>
      </c>
      <c r="AU58" s="3">
        <f t="shared" si="41"/>
        <v>0.43215211754537597</v>
      </c>
      <c r="AV58" s="1">
        <v>10</v>
      </c>
      <c r="AW58" s="3">
        <f t="shared" si="42"/>
        <v>0.86430423509075194</v>
      </c>
      <c r="AX58" s="1">
        <v>6</v>
      </c>
      <c r="AY58" s="3">
        <f t="shared" si="43"/>
        <v>0.51858254105445112</v>
      </c>
      <c r="AZ58" s="1">
        <v>33</v>
      </c>
      <c r="BA58" s="3">
        <f t="shared" si="44"/>
        <v>2.8522039757994815</v>
      </c>
      <c r="BB58" t="s">
        <v>209</v>
      </c>
      <c r="BD58"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327.45454545454538</v>
      </c>
      <c r="BE58" s="13">
        <f>2*(Дума_партии[[#This Row],[5. Всероссийская политическая партия "ЕДИНАЯ РОССИЯ"]]-(AB$124/100)*Дума_партии[[#This Row],[Число действительных избирательных бюллетеней]])</f>
        <v>432.2399999999999</v>
      </c>
      <c r="BF58" s="13">
        <f>(Дума_партии[[#This Row],[Вброс]]+Дума_партии[[#This Row],[Перекладывание]])/2</f>
        <v>379.84727272727264</v>
      </c>
      <c r="BG58" s="13" t="s">
        <v>255</v>
      </c>
    </row>
    <row r="59" spans="1:59" x14ac:dyDescent="0.4">
      <c r="A59" s="1" t="s">
        <v>49</v>
      </c>
      <c r="B59" s="1" t="s">
        <v>50</v>
      </c>
      <c r="C59" s="1" t="s">
        <v>51</v>
      </c>
      <c r="D59" s="1" t="s">
        <v>102</v>
      </c>
      <c r="E59" s="1" t="s">
        <v>160</v>
      </c>
      <c r="F59" s="10">
        <f t="shared" ca="1" si="25"/>
        <v>1799</v>
      </c>
      <c r="G59" s="1" t="s">
        <v>235</v>
      </c>
      <c r="H59" s="1">
        <v>2146</v>
      </c>
      <c r="I59" s="10">
        <f>Дума_партии[[#This Row],[Число избирателей, внесенных в список избирателей на момент окончания голосования]]</f>
        <v>2146</v>
      </c>
      <c r="J59" s="1">
        <v>1900</v>
      </c>
      <c r="K59" s="1">
        <v>0</v>
      </c>
      <c r="L59" s="1">
        <v>1414</v>
      </c>
      <c r="M59" s="1">
        <v>9</v>
      </c>
      <c r="N59" s="3">
        <f t="shared" si="26"/>
        <v>66.309412861137005</v>
      </c>
      <c r="O59" s="3">
        <f t="shared" si="27"/>
        <v>0.41938490214352281</v>
      </c>
      <c r="P59" s="1">
        <v>477</v>
      </c>
      <c r="Q59" s="1">
        <v>9</v>
      </c>
      <c r="R59" s="1">
        <v>1414</v>
      </c>
      <c r="S59" s="1">
        <f t="shared" si="28"/>
        <v>1423</v>
      </c>
      <c r="T59" s="3">
        <f t="shared" si="29"/>
        <v>0.63246661981728747</v>
      </c>
      <c r="U59" s="1">
        <v>34</v>
      </c>
      <c r="V59" s="3">
        <f t="shared" si="30"/>
        <v>2.3893183415319745</v>
      </c>
      <c r="W59" s="1">
        <v>1389</v>
      </c>
      <c r="X59" s="1">
        <v>0</v>
      </c>
      <c r="Y59" s="1">
        <v>0</v>
      </c>
      <c r="Z59" s="1">
        <v>217</v>
      </c>
      <c r="AA59" s="3">
        <f t="shared" si="31"/>
        <v>15.249472944483486</v>
      </c>
      <c r="AB59" s="1">
        <v>19</v>
      </c>
      <c r="AC59" s="3">
        <f t="shared" si="32"/>
        <v>1.3352073085031624</v>
      </c>
      <c r="AD59" s="1">
        <v>186</v>
      </c>
      <c r="AE59" s="3">
        <f t="shared" si="33"/>
        <v>13.070976809557273</v>
      </c>
      <c r="AF59" s="1">
        <v>87</v>
      </c>
      <c r="AG59" s="3">
        <f t="shared" si="34"/>
        <v>6.1138439915671121</v>
      </c>
      <c r="AH59" s="1">
        <v>665</v>
      </c>
      <c r="AI59" s="3">
        <f t="shared" si="35"/>
        <v>46.732255797610684</v>
      </c>
      <c r="AJ59" s="1">
        <v>62</v>
      </c>
      <c r="AK59" s="3">
        <f t="shared" si="36"/>
        <v>4.3569922698524248</v>
      </c>
      <c r="AL59" s="1">
        <v>65</v>
      </c>
      <c r="AM59" s="3">
        <f t="shared" si="37"/>
        <v>4.5678144764581869</v>
      </c>
      <c r="AN59" s="1">
        <v>16</v>
      </c>
      <c r="AO59" s="3">
        <f t="shared" si="38"/>
        <v>1.1243851018973998</v>
      </c>
      <c r="AP59" s="1">
        <v>12</v>
      </c>
      <c r="AQ59" s="3">
        <f t="shared" si="39"/>
        <v>0.84328882642304992</v>
      </c>
      <c r="AR59" s="1">
        <v>20</v>
      </c>
      <c r="AS59" s="3">
        <f t="shared" si="40"/>
        <v>1.4054813773717498</v>
      </c>
      <c r="AT59" s="1">
        <v>2</v>
      </c>
      <c r="AU59" s="3">
        <f t="shared" si="41"/>
        <v>0.14054813773717498</v>
      </c>
      <c r="AV59" s="1">
        <v>8</v>
      </c>
      <c r="AW59" s="3">
        <f t="shared" si="42"/>
        <v>0.56219255094869991</v>
      </c>
      <c r="AX59" s="1">
        <v>0</v>
      </c>
      <c r="AY59" s="3">
        <f t="shared" si="43"/>
        <v>0</v>
      </c>
      <c r="AZ59" s="1">
        <v>30</v>
      </c>
      <c r="BA59" s="3">
        <f t="shared" si="44"/>
        <v>2.1082220660576247</v>
      </c>
      <c r="BB59" t="s">
        <v>209</v>
      </c>
      <c r="BD59"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292.03030303030295</v>
      </c>
      <c r="BE59" s="13">
        <f>2*(Дума_партии[[#This Row],[5. Всероссийская политическая партия "ЕДИНАЯ РОССИЯ"]]-(AB$124/100)*Дума_партии[[#This Row],[Число действительных избирательных бюллетеней]])</f>
        <v>385.4799999999999</v>
      </c>
      <c r="BF59" s="13">
        <f>(Дума_партии[[#This Row],[Вброс]]+Дума_партии[[#This Row],[Перекладывание]])/2</f>
        <v>338.7551515151514</v>
      </c>
      <c r="BG59" s="13" t="s">
        <v>255</v>
      </c>
    </row>
    <row r="60" spans="1:59" x14ac:dyDescent="0.4">
      <c r="A60" s="1" t="s">
        <v>49</v>
      </c>
      <c r="B60" s="1" t="s">
        <v>50</v>
      </c>
      <c r="C60" s="1" t="s">
        <v>51</v>
      </c>
      <c r="D60" s="1" t="s">
        <v>102</v>
      </c>
      <c r="E60" s="1" t="s">
        <v>161</v>
      </c>
      <c r="F60" s="10">
        <f t="shared" ca="1" si="25"/>
        <v>1800</v>
      </c>
      <c r="G60" s="1" t="s">
        <v>235</v>
      </c>
      <c r="H60" s="1">
        <v>1667</v>
      </c>
      <c r="I60" s="10">
        <f>Дума_партии[[#This Row],[Число избирателей, внесенных в список избирателей на момент окончания голосования]]</f>
        <v>1667</v>
      </c>
      <c r="J60" s="1">
        <v>2200</v>
      </c>
      <c r="K60" s="1">
        <v>0</v>
      </c>
      <c r="L60" s="1">
        <v>1327</v>
      </c>
      <c r="M60" s="1">
        <v>10</v>
      </c>
      <c r="N60" s="3">
        <f t="shared" si="26"/>
        <v>80.203959208158366</v>
      </c>
      <c r="O60" s="3">
        <f t="shared" si="27"/>
        <v>0.59988002399520091</v>
      </c>
      <c r="P60" s="1">
        <v>863</v>
      </c>
      <c r="Q60" s="1">
        <v>10</v>
      </c>
      <c r="R60" s="1">
        <v>1327</v>
      </c>
      <c r="S60" s="1">
        <f t="shared" si="28"/>
        <v>1337</v>
      </c>
      <c r="T60" s="3">
        <f t="shared" si="29"/>
        <v>0.74794315632011965</v>
      </c>
      <c r="U60" s="1">
        <v>54</v>
      </c>
      <c r="V60" s="3">
        <f t="shared" si="30"/>
        <v>4.0388930441286464</v>
      </c>
      <c r="W60" s="1">
        <v>1283</v>
      </c>
      <c r="X60" s="1">
        <v>0</v>
      </c>
      <c r="Y60" s="1">
        <v>0</v>
      </c>
      <c r="Z60" s="1">
        <v>193</v>
      </c>
      <c r="AA60" s="3">
        <f t="shared" si="31"/>
        <v>14.43530291697831</v>
      </c>
      <c r="AB60" s="1">
        <v>14</v>
      </c>
      <c r="AC60" s="3">
        <f t="shared" si="32"/>
        <v>1.0471204188481675</v>
      </c>
      <c r="AD60" s="1">
        <v>140</v>
      </c>
      <c r="AE60" s="3">
        <f t="shared" si="33"/>
        <v>10.471204188481675</v>
      </c>
      <c r="AF60" s="1">
        <v>71</v>
      </c>
      <c r="AG60" s="3">
        <f t="shared" si="34"/>
        <v>5.3103964098728493</v>
      </c>
      <c r="AH60" s="1">
        <v>695</v>
      </c>
      <c r="AI60" s="3">
        <f t="shared" si="35"/>
        <v>51.982049364248319</v>
      </c>
      <c r="AJ60" s="1">
        <v>59</v>
      </c>
      <c r="AK60" s="3">
        <f t="shared" si="36"/>
        <v>4.4128646222887058</v>
      </c>
      <c r="AL60" s="1">
        <v>33</v>
      </c>
      <c r="AM60" s="3">
        <f t="shared" si="37"/>
        <v>2.4682124158563949</v>
      </c>
      <c r="AN60" s="1">
        <v>4</v>
      </c>
      <c r="AO60" s="3">
        <f t="shared" si="38"/>
        <v>0.29917726252804788</v>
      </c>
      <c r="AP60" s="1">
        <v>2</v>
      </c>
      <c r="AQ60" s="3">
        <f t="shared" si="39"/>
        <v>0.14958863126402394</v>
      </c>
      <c r="AR60" s="1">
        <v>21</v>
      </c>
      <c r="AS60" s="3">
        <f t="shared" si="40"/>
        <v>1.5706806282722514</v>
      </c>
      <c r="AT60" s="1">
        <v>3</v>
      </c>
      <c r="AU60" s="3">
        <f t="shared" si="41"/>
        <v>0.22438294689603591</v>
      </c>
      <c r="AV60" s="1">
        <v>14</v>
      </c>
      <c r="AW60" s="3">
        <f t="shared" si="42"/>
        <v>1.0471204188481675</v>
      </c>
      <c r="AX60" s="1">
        <v>9</v>
      </c>
      <c r="AY60" s="3">
        <f t="shared" si="43"/>
        <v>0.67314884068810765</v>
      </c>
      <c r="AZ60" s="1">
        <v>25</v>
      </c>
      <c r="BA60" s="3">
        <f t="shared" si="44"/>
        <v>1.8698578908002992</v>
      </c>
      <c r="BB60" t="s">
        <v>209</v>
      </c>
      <c r="BD60"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392.09090909090901</v>
      </c>
      <c r="BE60" s="13">
        <f>2*(Дума_партии[[#This Row],[5. Всероссийская политическая партия "ЕДИНАЯ РОССИЯ"]]-(AB$124/100)*Дума_партии[[#This Row],[Число действительных избирательных бюллетеней]])</f>
        <v>517.55999999999995</v>
      </c>
      <c r="BF60" s="13">
        <f>(Дума_партии[[#This Row],[Вброс]]+Дума_партии[[#This Row],[Перекладывание]])/2</f>
        <v>454.82545454545448</v>
      </c>
      <c r="BG60" s="13" t="s">
        <v>255</v>
      </c>
    </row>
    <row r="61" spans="1:59" x14ac:dyDescent="0.4">
      <c r="A61" s="1" t="s">
        <v>49</v>
      </c>
      <c r="B61" s="1" t="s">
        <v>50</v>
      </c>
      <c r="C61" s="1" t="s">
        <v>51</v>
      </c>
      <c r="D61" s="1" t="s">
        <v>102</v>
      </c>
      <c r="E61" s="1" t="s">
        <v>162</v>
      </c>
      <c r="F61" s="10">
        <f t="shared" ca="1" si="25"/>
        <v>1801</v>
      </c>
      <c r="G61" s="1" t="s">
        <v>236</v>
      </c>
      <c r="H61" s="1">
        <v>1419</v>
      </c>
      <c r="I61" s="10">
        <f>Дума_партии[[#This Row],[Число избирателей, внесенных в список избирателей на момент окончания голосования]]</f>
        <v>1419</v>
      </c>
      <c r="J61" s="1">
        <v>1200</v>
      </c>
      <c r="K61" s="1">
        <v>0</v>
      </c>
      <c r="L61" s="1">
        <v>444</v>
      </c>
      <c r="M61" s="1">
        <v>21</v>
      </c>
      <c r="N61" s="3">
        <f t="shared" si="26"/>
        <v>32.76955602536998</v>
      </c>
      <c r="O61" s="3">
        <f t="shared" si="27"/>
        <v>1.4799154334038056</v>
      </c>
      <c r="P61" s="1">
        <v>735</v>
      </c>
      <c r="Q61" s="1">
        <v>21</v>
      </c>
      <c r="R61" s="1">
        <v>444</v>
      </c>
      <c r="S61" s="1">
        <f t="shared" si="28"/>
        <v>465</v>
      </c>
      <c r="T61" s="3">
        <f t="shared" si="29"/>
        <v>4.5161290322580649</v>
      </c>
      <c r="U61" s="1">
        <v>24</v>
      </c>
      <c r="V61" s="3">
        <f t="shared" si="30"/>
        <v>5.161290322580645</v>
      </c>
      <c r="W61" s="1">
        <v>441</v>
      </c>
      <c r="X61" s="1">
        <v>0</v>
      </c>
      <c r="Y61" s="1">
        <v>0</v>
      </c>
      <c r="Z61" s="1">
        <v>96</v>
      </c>
      <c r="AA61" s="3">
        <f t="shared" si="31"/>
        <v>20.64516129032258</v>
      </c>
      <c r="AB61" s="1">
        <v>5</v>
      </c>
      <c r="AC61" s="3">
        <f t="shared" si="32"/>
        <v>1.075268817204301</v>
      </c>
      <c r="AD61" s="1">
        <v>34</v>
      </c>
      <c r="AE61" s="3">
        <f t="shared" si="33"/>
        <v>7.311827956989247</v>
      </c>
      <c r="AF61" s="1">
        <v>24</v>
      </c>
      <c r="AG61" s="3">
        <f t="shared" si="34"/>
        <v>5.161290322580645</v>
      </c>
      <c r="AH61" s="1">
        <v>199</v>
      </c>
      <c r="AI61" s="3">
        <f t="shared" si="35"/>
        <v>42.795698924731184</v>
      </c>
      <c r="AJ61" s="1">
        <v>31</v>
      </c>
      <c r="AK61" s="3">
        <f t="shared" si="36"/>
        <v>6.666666666666667</v>
      </c>
      <c r="AL61" s="1">
        <v>14</v>
      </c>
      <c r="AM61" s="3">
        <f t="shared" si="37"/>
        <v>3.010752688172043</v>
      </c>
      <c r="AN61" s="1">
        <v>4</v>
      </c>
      <c r="AO61" s="3">
        <f t="shared" si="38"/>
        <v>0.86021505376344087</v>
      </c>
      <c r="AP61" s="1">
        <v>7</v>
      </c>
      <c r="AQ61" s="3">
        <f t="shared" si="39"/>
        <v>1.5053763440860215</v>
      </c>
      <c r="AR61" s="1">
        <v>7</v>
      </c>
      <c r="AS61" s="3">
        <f t="shared" si="40"/>
        <v>1.5053763440860215</v>
      </c>
      <c r="AT61" s="1">
        <v>2</v>
      </c>
      <c r="AU61" s="3">
        <f t="shared" si="41"/>
        <v>0.43010752688172044</v>
      </c>
      <c r="AV61" s="1">
        <v>4</v>
      </c>
      <c r="AW61" s="3">
        <f t="shared" si="42"/>
        <v>0.86021505376344087</v>
      </c>
      <c r="AX61" s="1">
        <v>4</v>
      </c>
      <c r="AY61" s="3">
        <f t="shared" si="43"/>
        <v>0.86021505376344087</v>
      </c>
      <c r="AZ61" s="1">
        <v>10</v>
      </c>
      <c r="BA61" s="3">
        <f t="shared" si="44"/>
        <v>2.150537634408602</v>
      </c>
      <c r="BB61" t="s">
        <v>209</v>
      </c>
      <c r="BD61"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74.333333333333314</v>
      </c>
      <c r="BE61" s="13">
        <f>2*(Дума_партии[[#This Row],[5. Всероссийская политическая партия "ЕДИНАЯ РОССИЯ"]]-(AB$124/100)*Дума_партии[[#This Row],[Число действительных избирательных бюллетеней]])</f>
        <v>98.12</v>
      </c>
      <c r="BF61" s="13">
        <f>(Дума_партии[[#This Row],[Вброс]]+Дума_партии[[#This Row],[Перекладывание]])/2</f>
        <v>86.226666666666659</v>
      </c>
      <c r="BG61" s="13" t="s">
        <v>255</v>
      </c>
    </row>
    <row r="62" spans="1:59" x14ac:dyDescent="0.4">
      <c r="A62" s="1" t="s">
        <v>49</v>
      </c>
      <c r="B62" s="1" t="s">
        <v>50</v>
      </c>
      <c r="C62" s="1" t="s">
        <v>51</v>
      </c>
      <c r="D62" s="1" t="s">
        <v>102</v>
      </c>
      <c r="E62" s="1" t="s">
        <v>163</v>
      </c>
      <c r="F62" s="10">
        <f t="shared" ca="1" si="25"/>
        <v>1802</v>
      </c>
      <c r="G62" s="1" t="s">
        <v>235</v>
      </c>
      <c r="H62" s="1">
        <v>1116</v>
      </c>
      <c r="I62" s="10">
        <f>Дума_партии[[#This Row],[Число избирателей, внесенных в список избирателей на момент окончания голосования]]</f>
        <v>1116</v>
      </c>
      <c r="J62" s="1">
        <v>1100</v>
      </c>
      <c r="K62" s="1">
        <v>0</v>
      </c>
      <c r="L62" s="1">
        <v>333</v>
      </c>
      <c r="M62" s="1">
        <v>64</v>
      </c>
      <c r="N62" s="3">
        <f t="shared" si="26"/>
        <v>35.573476702508962</v>
      </c>
      <c r="O62" s="3">
        <f t="shared" si="27"/>
        <v>5.7347670250896057</v>
      </c>
      <c r="P62" s="1">
        <v>703</v>
      </c>
      <c r="Q62" s="1">
        <v>64</v>
      </c>
      <c r="R62" s="1">
        <v>333</v>
      </c>
      <c r="S62" s="1">
        <f t="shared" si="28"/>
        <v>397</v>
      </c>
      <c r="T62" s="3">
        <f t="shared" si="29"/>
        <v>16.120906801007557</v>
      </c>
      <c r="U62" s="1">
        <v>22</v>
      </c>
      <c r="V62" s="3">
        <f t="shared" si="30"/>
        <v>5.5415617128463479</v>
      </c>
      <c r="W62" s="1">
        <v>375</v>
      </c>
      <c r="X62" s="1">
        <v>0</v>
      </c>
      <c r="Y62" s="1">
        <v>0</v>
      </c>
      <c r="Z62" s="1">
        <v>105</v>
      </c>
      <c r="AA62" s="3">
        <f t="shared" si="31"/>
        <v>26.448362720403022</v>
      </c>
      <c r="AB62" s="1">
        <v>6</v>
      </c>
      <c r="AC62" s="3">
        <f t="shared" si="32"/>
        <v>1.5113350125944585</v>
      </c>
      <c r="AD62" s="1">
        <v>51</v>
      </c>
      <c r="AE62" s="3">
        <f t="shared" si="33"/>
        <v>12.846347607052897</v>
      </c>
      <c r="AF62" s="1">
        <v>29</v>
      </c>
      <c r="AG62" s="3">
        <f t="shared" si="34"/>
        <v>7.3047858942065496</v>
      </c>
      <c r="AH62" s="1">
        <v>112</v>
      </c>
      <c r="AI62" s="3">
        <f t="shared" si="35"/>
        <v>28.211586901763223</v>
      </c>
      <c r="AJ62" s="1">
        <v>24</v>
      </c>
      <c r="AK62" s="3">
        <f t="shared" si="36"/>
        <v>6.0453400503778338</v>
      </c>
      <c r="AL62" s="1">
        <v>11</v>
      </c>
      <c r="AM62" s="3">
        <f t="shared" si="37"/>
        <v>2.770780856423174</v>
      </c>
      <c r="AN62" s="1">
        <v>3</v>
      </c>
      <c r="AO62" s="3">
        <f t="shared" si="38"/>
        <v>0.75566750629722923</v>
      </c>
      <c r="AP62" s="1">
        <v>4</v>
      </c>
      <c r="AQ62" s="3">
        <f t="shared" si="39"/>
        <v>1.0075566750629723</v>
      </c>
      <c r="AR62" s="1">
        <v>9</v>
      </c>
      <c r="AS62" s="3">
        <f t="shared" si="40"/>
        <v>2.2670025188916876</v>
      </c>
      <c r="AT62" s="1">
        <v>0</v>
      </c>
      <c r="AU62" s="3">
        <f t="shared" si="41"/>
        <v>0</v>
      </c>
      <c r="AV62" s="1">
        <v>4</v>
      </c>
      <c r="AW62" s="3">
        <f t="shared" si="42"/>
        <v>1.0075566750629723</v>
      </c>
      <c r="AX62" s="1">
        <v>2</v>
      </c>
      <c r="AY62" s="3">
        <f t="shared" si="43"/>
        <v>0.50377833753148615</v>
      </c>
      <c r="AZ62" s="1">
        <v>15</v>
      </c>
      <c r="BA62" s="3">
        <f t="shared" si="44"/>
        <v>3.7783375314861463</v>
      </c>
      <c r="BB62" t="s">
        <v>209</v>
      </c>
      <c r="BD62"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-23.484848484848499</v>
      </c>
      <c r="BE62" s="13">
        <f>2*(Дума_партии[[#This Row],[5. Всероссийская политическая партия "ЕДИНАЯ РОССИЯ"]]-(AB$124/100)*Дума_партии[[#This Row],[Число действительных избирательных бюллетеней]])</f>
        <v>-31.000000000000028</v>
      </c>
      <c r="BF62" s="13">
        <f>(Дума_партии[[#This Row],[Вброс]]+Дума_партии[[#This Row],[Перекладывание]])/2</f>
        <v>-27.242424242424264</v>
      </c>
      <c r="BG62" s="13" t="s">
        <v>255</v>
      </c>
    </row>
    <row r="63" spans="1:59" x14ac:dyDescent="0.4">
      <c r="A63" s="1" t="s">
        <v>49</v>
      </c>
      <c r="B63" s="1" t="s">
        <v>50</v>
      </c>
      <c r="C63" s="1" t="s">
        <v>51</v>
      </c>
      <c r="D63" s="1" t="s">
        <v>102</v>
      </c>
      <c r="E63" s="1" t="s">
        <v>164</v>
      </c>
      <c r="F63" s="10">
        <f t="shared" ca="1" si="25"/>
        <v>1803</v>
      </c>
      <c r="G63" s="1" t="s">
        <v>235</v>
      </c>
      <c r="H63" s="1">
        <v>657</v>
      </c>
      <c r="I63" s="10">
        <f>Дума_партии[[#This Row],[Число избирателей, внесенных в список избирателей на момент окончания голосования]]</f>
        <v>657</v>
      </c>
      <c r="J63" s="1">
        <v>1100</v>
      </c>
      <c r="K63" s="1">
        <v>0</v>
      </c>
      <c r="L63" s="1">
        <v>653</v>
      </c>
      <c r="M63" s="1">
        <v>4</v>
      </c>
      <c r="N63" s="3">
        <f t="shared" si="26"/>
        <v>100</v>
      </c>
      <c r="O63" s="3">
        <f t="shared" si="27"/>
        <v>0.60882800608828003</v>
      </c>
      <c r="P63" s="1">
        <v>443</v>
      </c>
      <c r="Q63" s="1">
        <v>4</v>
      </c>
      <c r="R63" s="1">
        <v>653</v>
      </c>
      <c r="S63" s="1">
        <f t="shared" si="28"/>
        <v>657</v>
      </c>
      <c r="T63" s="3">
        <f t="shared" si="29"/>
        <v>0.60882800608828003</v>
      </c>
      <c r="U63" s="1">
        <v>27</v>
      </c>
      <c r="V63" s="3">
        <f t="shared" si="30"/>
        <v>4.1095890410958908</v>
      </c>
      <c r="W63" s="1">
        <v>630</v>
      </c>
      <c r="X63" s="1">
        <v>0</v>
      </c>
      <c r="Y63" s="1">
        <v>0</v>
      </c>
      <c r="Z63" s="1">
        <v>121</v>
      </c>
      <c r="AA63" s="3">
        <f t="shared" si="31"/>
        <v>18.417047184170471</v>
      </c>
      <c r="AB63" s="1">
        <v>3</v>
      </c>
      <c r="AC63" s="3">
        <f t="shared" si="32"/>
        <v>0.45662100456621002</v>
      </c>
      <c r="AD63" s="1">
        <v>38</v>
      </c>
      <c r="AE63" s="3">
        <f t="shared" si="33"/>
        <v>5.7838660578386607</v>
      </c>
      <c r="AF63" s="1">
        <v>22</v>
      </c>
      <c r="AG63" s="3">
        <f t="shared" si="34"/>
        <v>3.3485540334855401</v>
      </c>
      <c r="AH63" s="1">
        <v>374</v>
      </c>
      <c r="AI63" s="3">
        <f t="shared" si="35"/>
        <v>56.925418569254184</v>
      </c>
      <c r="AJ63" s="1">
        <v>22</v>
      </c>
      <c r="AK63" s="3">
        <f t="shared" si="36"/>
        <v>3.3485540334855401</v>
      </c>
      <c r="AL63" s="1">
        <v>12</v>
      </c>
      <c r="AM63" s="3">
        <f t="shared" si="37"/>
        <v>1.8264840182648401</v>
      </c>
      <c r="AN63" s="1">
        <v>0</v>
      </c>
      <c r="AO63" s="3">
        <f t="shared" si="38"/>
        <v>0</v>
      </c>
      <c r="AP63" s="1">
        <v>3</v>
      </c>
      <c r="AQ63" s="3">
        <f t="shared" si="39"/>
        <v>0.45662100456621002</v>
      </c>
      <c r="AR63" s="1">
        <v>8</v>
      </c>
      <c r="AS63" s="3">
        <f t="shared" si="40"/>
        <v>1.2176560121765601</v>
      </c>
      <c r="AT63" s="1">
        <v>0</v>
      </c>
      <c r="AU63" s="3">
        <f t="shared" si="41"/>
        <v>0</v>
      </c>
      <c r="AV63" s="1">
        <v>2</v>
      </c>
      <c r="AW63" s="3">
        <f t="shared" si="42"/>
        <v>0.30441400304414001</v>
      </c>
      <c r="AX63" s="1">
        <v>5</v>
      </c>
      <c r="AY63" s="3">
        <f t="shared" si="43"/>
        <v>0.76103500761035003</v>
      </c>
      <c r="AZ63" s="1">
        <v>20</v>
      </c>
      <c r="BA63" s="3">
        <f t="shared" si="44"/>
        <v>3.0441400304414001</v>
      </c>
      <c r="BB63" t="s">
        <v>209</v>
      </c>
      <c r="BD63"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242.1212121212121</v>
      </c>
      <c r="BE63" s="13">
        <f>2*(Дума_партии[[#This Row],[5. Всероссийская политическая партия "ЕДИНАЯ РОССИЯ"]]-(AB$124/100)*Дума_партии[[#This Row],[Число действительных избирательных бюллетеней]])</f>
        <v>319.59999999999997</v>
      </c>
      <c r="BF63" s="13">
        <f>(Дума_партии[[#This Row],[Вброс]]+Дума_партии[[#This Row],[Перекладывание]])/2</f>
        <v>280.86060606060602</v>
      </c>
      <c r="BG63" s="13" t="s">
        <v>255</v>
      </c>
    </row>
    <row r="64" spans="1:59" x14ac:dyDescent="0.4">
      <c r="A64" s="1" t="s">
        <v>49</v>
      </c>
      <c r="B64" s="1" t="s">
        <v>50</v>
      </c>
      <c r="C64" s="1" t="s">
        <v>51</v>
      </c>
      <c r="D64" s="1" t="s">
        <v>102</v>
      </c>
      <c r="E64" s="1" t="s">
        <v>165</v>
      </c>
      <c r="F64" s="10">
        <f t="shared" ca="1" si="25"/>
        <v>1804</v>
      </c>
      <c r="G64" s="1" t="s">
        <v>237</v>
      </c>
      <c r="H64" s="1">
        <v>1421</v>
      </c>
      <c r="I64" s="10">
        <f>Дума_партии[[#This Row],[Число избирателей, внесенных в список избирателей на момент окончания голосования]]</f>
        <v>1421</v>
      </c>
      <c r="J64" s="1">
        <v>1300</v>
      </c>
      <c r="K64" s="1">
        <v>0</v>
      </c>
      <c r="L64" s="1">
        <v>491</v>
      </c>
      <c r="M64" s="1">
        <v>14</v>
      </c>
      <c r="N64" s="3">
        <f t="shared" si="26"/>
        <v>35.538353272343421</v>
      </c>
      <c r="O64" s="3">
        <f t="shared" si="27"/>
        <v>0.98522167487684731</v>
      </c>
      <c r="P64" s="1">
        <v>795</v>
      </c>
      <c r="Q64" s="1">
        <v>14</v>
      </c>
      <c r="R64" s="1">
        <v>491</v>
      </c>
      <c r="S64" s="1">
        <f t="shared" si="28"/>
        <v>505</v>
      </c>
      <c r="T64" s="3">
        <f t="shared" si="29"/>
        <v>2.7722772277227721</v>
      </c>
      <c r="U64" s="1">
        <v>24</v>
      </c>
      <c r="V64" s="3">
        <f t="shared" si="30"/>
        <v>4.7524752475247523</v>
      </c>
      <c r="W64" s="1">
        <v>481</v>
      </c>
      <c r="X64" s="1">
        <v>0</v>
      </c>
      <c r="Y64" s="1">
        <v>0</v>
      </c>
      <c r="Z64" s="1">
        <v>151</v>
      </c>
      <c r="AA64" s="3">
        <f t="shared" si="31"/>
        <v>29.900990099009903</v>
      </c>
      <c r="AB64" s="1">
        <v>11</v>
      </c>
      <c r="AC64" s="3">
        <f t="shared" si="32"/>
        <v>2.1782178217821784</v>
      </c>
      <c r="AD64" s="1">
        <v>40</v>
      </c>
      <c r="AE64" s="3">
        <f t="shared" si="33"/>
        <v>7.9207920792079207</v>
      </c>
      <c r="AF64" s="1">
        <v>29</v>
      </c>
      <c r="AG64" s="3">
        <f t="shared" si="34"/>
        <v>5.7425742574257423</v>
      </c>
      <c r="AH64" s="1">
        <v>142</v>
      </c>
      <c r="AI64" s="3">
        <f t="shared" si="35"/>
        <v>28.118811881188119</v>
      </c>
      <c r="AJ64" s="1">
        <v>35</v>
      </c>
      <c r="AK64" s="3">
        <f t="shared" si="36"/>
        <v>6.9306930693069306</v>
      </c>
      <c r="AL64" s="1">
        <v>21</v>
      </c>
      <c r="AM64" s="3">
        <f t="shared" si="37"/>
        <v>4.1584158415841586</v>
      </c>
      <c r="AN64" s="1">
        <v>1</v>
      </c>
      <c r="AO64" s="3">
        <f t="shared" si="38"/>
        <v>0.19801980198019803</v>
      </c>
      <c r="AP64" s="1">
        <v>6</v>
      </c>
      <c r="AQ64" s="3">
        <f t="shared" si="39"/>
        <v>1.1881188118811881</v>
      </c>
      <c r="AR64" s="1">
        <v>9</v>
      </c>
      <c r="AS64" s="3">
        <f t="shared" si="40"/>
        <v>1.7821782178217822</v>
      </c>
      <c r="AT64" s="1">
        <v>2</v>
      </c>
      <c r="AU64" s="3">
        <f t="shared" si="41"/>
        <v>0.39603960396039606</v>
      </c>
      <c r="AV64" s="1">
        <v>6</v>
      </c>
      <c r="AW64" s="3">
        <f t="shared" si="42"/>
        <v>1.1881188118811881</v>
      </c>
      <c r="AX64" s="1">
        <v>2</v>
      </c>
      <c r="AY64" s="3">
        <f t="shared" si="43"/>
        <v>0.39603960396039606</v>
      </c>
      <c r="AZ64" s="1">
        <v>26</v>
      </c>
      <c r="BA64" s="3">
        <f t="shared" si="44"/>
        <v>5.1485148514851486</v>
      </c>
      <c r="BB64" t="s">
        <v>209</v>
      </c>
      <c r="BD64"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-32.636363636363683</v>
      </c>
      <c r="BE64" s="13">
        <f>2*(Дума_партии[[#This Row],[5. Всероссийская политическая партия "ЕДИНАЯ РОССИЯ"]]-(AB$124/100)*Дума_партии[[#This Row],[Число действительных избирательных бюллетеней]])</f>
        <v>-43.080000000000041</v>
      </c>
      <c r="BF64" s="13">
        <f>(Дума_партии[[#This Row],[Вброс]]+Дума_партии[[#This Row],[Перекладывание]])/2</f>
        <v>-37.858181818181862</v>
      </c>
      <c r="BG64" s="13" t="s">
        <v>255</v>
      </c>
    </row>
    <row r="65" spans="1:59" x14ac:dyDescent="0.4">
      <c r="A65" s="1" t="s">
        <v>49</v>
      </c>
      <c r="B65" s="1" t="s">
        <v>50</v>
      </c>
      <c r="C65" s="1" t="s">
        <v>51</v>
      </c>
      <c r="D65" s="1" t="s">
        <v>102</v>
      </c>
      <c r="E65" s="1" t="s">
        <v>166</v>
      </c>
      <c r="F65" s="10">
        <f t="shared" ca="1" si="25"/>
        <v>1805</v>
      </c>
      <c r="G65" s="1" t="s">
        <v>237</v>
      </c>
      <c r="H65" s="1">
        <v>1062</v>
      </c>
      <c r="I65" s="10">
        <f>Дума_партии[[#This Row],[Число избирателей, внесенных в список избирателей на момент окончания голосования]]</f>
        <v>1062</v>
      </c>
      <c r="J65" s="1">
        <v>1000</v>
      </c>
      <c r="K65" s="1">
        <v>0</v>
      </c>
      <c r="L65" s="1">
        <v>381</v>
      </c>
      <c r="M65" s="1">
        <v>13</v>
      </c>
      <c r="N65" s="3">
        <f t="shared" si="26"/>
        <v>37.099811676082865</v>
      </c>
      <c r="O65" s="3">
        <f t="shared" si="27"/>
        <v>1.2241054613935969</v>
      </c>
      <c r="P65" s="1">
        <v>606</v>
      </c>
      <c r="Q65" s="1">
        <v>13</v>
      </c>
      <c r="R65" s="1">
        <v>381</v>
      </c>
      <c r="S65" s="1">
        <f t="shared" si="28"/>
        <v>394</v>
      </c>
      <c r="T65" s="3">
        <f t="shared" si="29"/>
        <v>3.2994923857868019</v>
      </c>
      <c r="U65" s="1">
        <v>8</v>
      </c>
      <c r="V65" s="3">
        <f t="shared" si="30"/>
        <v>2.030456852791878</v>
      </c>
      <c r="W65" s="1">
        <v>386</v>
      </c>
      <c r="X65" s="1">
        <v>0</v>
      </c>
      <c r="Y65" s="1">
        <v>0</v>
      </c>
      <c r="Z65" s="1">
        <v>124</v>
      </c>
      <c r="AA65" s="3">
        <f t="shared" si="31"/>
        <v>31.472081218274113</v>
      </c>
      <c r="AB65" s="1">
        <v>3</v>
      </c>
      <c r="AC65" s="3">
        <f t="shared" si="32"/>
        <v>0.76142131979695427</v>
      </c>
      <c r="AD65" s="1">
        <v>29</v>
      </c>
      <c r="AE65" s="3">
        <f t="shared" si="33"/>
        <v>7.3604060913705585</v>
      </c>
      <c r="AF65" s="1">
        <v>20</v>
      </c>
      <c r="AG65" s="3">
        <f t="shared" si="34"/>
        <v>5.0761421319796955</v>
      </c>
      <c r="AH65" s="1">
        <v>126</v>
      </c>
      <c r="AI65" s="3">
        <f t="shared" si="35"/>
        <v>31.979695431472081</v>
      </c>
      <c r="AJ65" s="1">
        <v>34</v>
      </c>
      <c r="AK65" s="3">
        <f t="shared" si="36"/>
        <v>8.6294416243654819</v>
      </c>
      <c r="AL65" s="1">
        <v>18</v>
      </c>
      <c r="AM65" s="3">
        <f t="shared" si="37"/>
        <v>4.5685279187817258</v>
      </c>
      <c r="AN65" s="1">
        <v>4</v>
      </c>
      <c r="AO65" s="3">
        <f t="shared" si="38"/>
        <v>1.015228426395939</v>
      </c>
      <c r="AP65" s="1">
        <v>0</v>
      </c>
      <c r="AQ65" s="3">
        <f t="shared" si="39"/>
        <v>0</v>
      </c>
      <c r="AR65" s="1">
        <v>6</v>
      </c>
      <c r="AS65" s="3">
        <f t="shared" si="40"/>
        <v>1.5228426395939085</v>
      </c>
      <c r="AT65" s="1">
        <v>1</v>
      </c>
      <c r="AU65" s="3">
        <f t="shared" si="41"/>
        <v>0.25380710659898476</v>
      </c>
      <c r="AV65" s="1">
        <v>4</v>
      </c>
      <c r="AW65" s="3">
        <f t="shared" si="42"/>
        <v>1.015228426395939</v>
      </c>
      <c r="AX65" s="1">
        <v>4</v>
      </c>
      <c r="AY65" s="3">
        <f t="shared" si="43"/>
        <v>1.015228426395939</v>
      </c>
      <c r="AZ65" s="1">
        <v>13</v>
      </c>
      <c r="BA65" s="3">
        <f t="shared" si="44"/>
        <v>3.2994923857868019</v>
      </c>
      <c r="BB65" t="s">
        <v>209</v>
      </c>
      <c r="BD65"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-7.9393939393939661</v>
      </c>
      <c r="BE65" s="13">
        <f>2*(Дума_партии[[#This Row],[5. Всероссийская политическая партия "ЕДИНАЯ РОССИЯ"]]-(AB$124/100)*Дума_партии[[#This Row],[Число действительных избирательных бюллетеней]])</f>
        <v>-10.480000000000018</v>
      </c>
      <c r="BF65" s="13">
        <f>(Дума_партии[[#This Row],[Вброс]]+Дума_партии[[#This Row],[Перекладывание]])/2</f>
        <v>-9.2096969696969921</v>
      </c>
      <c r="BG65" s="13" t="s">
        <v>255</v>
      </c>
    </row>
    <row r="66" spans="1:59" x14ac:dyDescent="0.4">
      <c r="A66" s="1" t="s">
        <v>49</v>
      </c>
      <c r="B66" s="1" t="s">
        <v>50</v>
      </c>
      <c r="C66" s="1" t="s">
        <v>51</v>
      </c>
      <c r="D66" s="1" t="s">
        <v>102</v>
      </c>
      <c r="E66" s="1" t="s">
        <v>167</v>
      </c>
      <c r="F66" s="10">
        <f t="shared" ca="1" si="25"/>
        <v>1806</v>
      </c>
      <c r="G66" s="1" t="s">
        <v>237</v>
      </c>
      <c r="H66" s="1">
        <v>1401</v>
      </c>
      <c r="I66" s="10">
        <f>Дума_партии[[#This Row],[Число избирателей, внесенных в список избирателей на момент окончания голосования]]</f>
        <v>1401</v>
      </c>
      <c r="J66" s="1">
        <v>1400</v>
      </c>
      <c r="K66" s="1">
        <v>0</v>
      </c>
      <c r="L66" s="1">
        <v>491</v>
      </c>
      <c r="M66" s="1">
        <v>4</v>
      </c>
      <c r="N66" s="3">
        <f t="shared" si="26"/>
        <v>35.331905781584581</v>
      </c>
      <c r="O66" s="3">
        <f t="shared" si="27"/>
        <v>0.28551034975017847</v>
      </c>
      <c r="P66" s="1">
        <v>905</v>
      </c>
      <c r="Q66" s="1">
        <v>4</v>
      </c>
      <c r="R66" s="1">
        <v>491</v>
      </c>
      <c r="S66" s="1">
        <f t="shared" si="28"/>
        <v>495</v>
      </c>
      <c r="T66" s="3">
        <f t="shared" si="29"/>
        <v>0.80808080808080807</v>
      </c>
      <c r="U66" s="1">
        <v>14</v>
      </c>
      <c r="V66" s="3">
        <f t="shared" si="30"/>
        <v>2.8282828282828283</v>
      </c>
      <c r="W66" s="1">
        <v>481</v>
      </c>
      <c r="X66" s="1">
        <v>0</v>
      </c>
      <c r="Y66" s="1">
        <v>0</v>
      </c>
      <c r="Z66" s="1">
        <v>135</v>
      </c>
      <c r="AA66" s="3">
        <f t="shared" si="31"/>
        <v>27.272727272727273</v>
      </c>
      <c r="AB66" s="1">
        <v>13</v>
      </c>
      <c r="AC66" s="3">
        <f t="shared" si="32"/>
        <v>2.6262626262626263</v>
      </c>
      <c r="AD66" s="1">
        <v>39</v>
      </c>
      <c r="AE66" s="3">
        <f t="shared" si="33"/>
        <v>7.8787878787878789</v>
      </c>
      <c r="AF66" s="1">
        <v>31</v>
      </c>
      <c r="AG66" s="3">
        <f t="shared" si="34"/>
        <v>6.262626262626263</v>
      </c>
      <c r="AH66" s="1">
        <v>174</v>
      </c>
      <c r="AI66" s="3">
        <f t="shared" si="35"/>
        <v>35.151515151515149</v>
      </c>
      <c r="AJ66" s="1">
        <v>26</v>
      </c>
      <c r="AK66" s="3">
        <f t="shared" si="36"/>
        <v>5.2525252525252526</v>
      </c>
      <c r="AL66" s="1">
        <v>18</v>
      </c>
      <c r="AM66" s="3">
        <f t="shared" si="37"/>
        <v>3.6363636363636362</v>
      </c>
      <c r="AN66" s="1">
        <v>3</v>
      </c>
      <c r="AO66" s="3">
        <f t="shared" si="38"/>
        <v>0.60606060606060608</v>
      </c>
      <c r="AP66" s="1">
        <v>3</v>
      </c>
      <c r="AQ66" s="3">
        <f t="shared" si="39"/>
        <v>0.60606060606060608</v>
      </c>
      <c r="AR66" s="1">
        <v>8</v>
      </c>
      <c r="AS66" s="3">
        <f t="shared" si="40"/>
        <v>1.6161616161616161</v>
      </c>
      <c r="AT66" s="1">
        <v>0</v>
      </c>
      <c r="AU66" s="3">
        <f t="shared" si="41"/>
        <v>0</v>
      </c>
      <c r="AV66" s="1">
        <v>5</v>
      </c>
      <c r="AW66" s="3">
        <f t="shared" si="42"/>
        <v>1.0101010101010102</v>
      </c>
      <c r="AX66" s="1">
        <v>5</v>
      </c>
      <c r="AY66" s="3">
        <f t="shared" si="43"/>
        <v>1.0101010101010102</v>
      </c>
      <c r="AZ66" s="1">
        <v>21</v>
      </c>
      <c r="BA66" s="3">
        <f t="shared" si="44"/>
        <v>4.2424242424242422</v>
      </c>
      <c r="BB66" t="s">
        <v>209</v>
      </c>
      <c r="BD66"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15.848484848484816</v>
      </c>
      <c r="BE66" s="13">
        <f>2*(Дума_партии[[#This Row],[5. Всероссийская политическая партия "ЕДИНАЯ РОССИЯ"]]-(AB$124/100)*Дума_партии[[#This Row],[Число действительных избирательных бюллетеней]])</f>
        <v>20.919999999999959</v>
      </c>
      <c r="BF66" s="13">
        <f>(Дума_партии[[#This Row],[Вброс]]+Дума_партии[[#This Row],[Перекладывание]])/2</f>
        <v>18.384242424242387</v>
      </c>
      <c r="BG66" s="13" t="s">
        <v>255</v>
      </c>
    </row>
    <row r="67" spans="1:59" x14ac:dyDescent="0.4">
      <c r="A67" s="1" t="s">
        <v>49</v>
      </c>
      <c r="B67" s="1" t="s">
        <v>50</v>
      </c>
      <c r="C67" s="1" t="s">
        <v>51</v>
      </c>
      <c r="D67" s="1" t="s">
        <v>102</v>
      </c>
      <c r="E67" s="1" t="s">
        <v>168</v>
      </c>
      <c r="F67" s="10">
        <f t="shared" ca="1" si="25"/>
        <v>1807</v>
      </c>
      <c r="G67" s="1" t="s">
        <v>237</v>
      </c>
      <c r="H67" s="1">
        <v>1112</v>
      </c>
      <c r="I67" s="10">
        <f>Дума_партии[[#This Row],[Число избирателей, внесенных в список избирателей на момент окончания голосования]]</f>
        <v>1112</v>
      </c>
      <c r="J67" s="1">
        <v>1000</v>
      </c>
      <c r="K67" s="1">
        <v>0</v>
      </c>
      <c r="L67" s="1">
        <v>472</v>
      </c>
      <c r="M67" s="1">
        <v>4</v>
      </c>
      <c r="N67" s="3">
        <f t="shared" si="26"/>
        <v>42.805755395683455</v>
      </c>
      <c r="O67" s="3">
        <f t="shared" si="27"/>
        <v>0.35971223021582732</v>
      </c>
      <c r="P67" s="1">
        <v>524</v>
      </c>
      <c r="Q67" s="1">
        <v>4</v>
      </c>
      <c r="R67" s="1">
        <v>472</v>
      </c>
      <c r="S67" s="1">
        <f t="shared" si="28"/>
        <v>476</v>
      </c>
      <c r="T67" s="3">
        <f t="shared" si="29"/>
        <v>0.84033613445378152</v>
      </c>
      <c r="U67" s="1">
        <v>21</v>
      </c>
      <c r="V67" s="3">
        <f t="shared" si="30"/>
        <v>4.4117647058823533</v>
      </c>
      <c r="W67" s="1">
        <v>455</v>
      </c>
      <c r="X67" s="1">
        <v>0</v>
      </c>
      <c r="Y67" s="1">
        <v>0</v>
      </c>
      <c r="Z67" s="1">
        <v>119</v>
      </c>
      <c r="AA67" s="3">
        <f t="shared" si="31"/>
        <v>25</v>
      </c>
      <c r="AB67" s="1">
        <v>11</v>
      </c>
      <c r="AC67" s="3">
        <f t="shared" si="32"/>
        <v>2.3109243697478989</v>
      </c>
      <c r="AD67" s="1">
        <v>36</v>
      </c>
      <c r="AE67" s="3">
        <f t="shared" si="33"/>
        <v>7.5630252100840334</v>
      </c>
      <c r="AF67" s="1">
        <v>30</v>
      </c>
      <c r="AG67" s="3">
        <f t="shared" si="34"/>
        <v>6.3025210084033612</v>
      </c>
      <c r="AH67" s="1">
        <v>139</v>
      </c>
      <c r="AI67" s="3">
        <f t="shared" si="35"/>
        <v>29.201680672268907</v>
      </c>
      <c r="AJ67" s="1">
        <v>45</v>
      </c>
      <c r="AK67" s="3">
        <f t="shared" si="36"/>
        <v>9.4537815126050422</v>
      </c>
      <c r="AL67" s="1">
        <v>25</v>
      </c>
      <c r="AM67" s="3">
        <f t="shared" si="37"/>
        <v>5.2521008403361344</v>
      </c>
      <c r="AN67" s="1">
        <v>6</v>
      </c>
      <c r="AO67" s="3">
        <f t="shared" si="38"/>
        <v>1.2605042016806722</v>
      </c>
      <c r="AP67" s="1">
        <v>0</v>
      </c>
      <c r="AQ67" s="3">
        <f t="shared" si="39"/>
        <v>0</v>
      </c>
      <c r="AR67" s="1">
        <v>9</v>
      </c>
      <c r="AS67" s="3">
        <f t="shared" si="40"/>
        <v>1.8907563025210083</v>
      </c>
      <c r="AT67" s="1">
        <v>0</v>
      </c>
      <c r="AU67" s="3">
        <f t="shared" si="41"/>
        <v>0</v>
      </c>
      <c r="AV67" s="1">
        <v>10</v>
      </c>
      <c r="AW67" s="3">
        <f t="shared" si="42"/>
        <v>2.1008403361344539</v>
      </c>
      <c r="AX67" s="1">
        <v>10</v>
      </c>
      <c r="AY67" s="3">
        <f t="shared" si="43"/>
        <v>2.1008403361344539</v>
      </c>
      <c r="AZ67" s="1">
        <v>15</v>
      </c>
      <c r="BA67" s="3">
        <f t="shared" si="44"/>
        <v>3.1512605042016806</v>
      </c>
      <c r="BB67" t="s">
        <v>209</v>
      </c>
      <c r="BD67"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-23.78787878787881</v>
      </c>
      <c r="BE67" s="13">
        <f>2*(Дума_партии[[#This Row],[5. Всероссийская политическая партия "ЕДИНАЯ РОССИЯ"]]-(AB$124/100)*Дума_партии[[#This Row],[Число действительных избирательных бюллетеней]])</f>
        <v>-31.400000000000034</v>
      </c>
      <c r="BF67" s="13">
        <f>(Дума_партии[[#This Row],[Вброс]]+Дума_партии[[#This Row],[Перекладывание]])/2</f>
        <v>-27.593939393939422</v>
      </c>
      <c r="BG67" s="13" t="s">
        <v>255</v>
      </c>
    </row>
    <row r="68" spans="1:59" x14ac:dyDescent="0.4">
      <c r="A68" s="1" t="s">
        <v>49</v>
      </c>
      <c r="B68" s="1" t="s">
        <v>50</v>
      </c>
      <c r="C68" s="1" t="s">
        <v>51</v>
      </c>
      <c r="D68" s="1" t="s">
        <v>102</v>
      </c>
      <c r="E68" s="1" t="s">
        <v>169</v>
      </c>
      <c r="F68" s="10">
        <f t="shared" ca="1" si="25"/>
        <v>1808</v>
      </c>
      <c r="G68" s="1" t="s">
        <v>237</v>
      </c>
      <c r="H68" s="1">
        <v>1251</v>
      </c>
      <c r="I68" s="10">
        <f>Дума_партии[[#This Row],[Число избирателей, внесенных в список избирателей на момент окончания голосования]]</f>
        <v>1251</v>
      </c>
      <c r="J68" s="1">
        <v>1200</v>
      </c>
      <c r="K68" s="1">
        <v>0</v>
      </c>
      <c r="L68" s="1">
        <v>465</v>
      </c>
      <c r="M68" s="1">
        <v>11</v>
      </c>
      <c r="N68" s="3">
        <f t="shared" si="26"/>
        <v>38.049560351718625</v>
      </c>
      <c r="O68" s="3">
        <f t="shared" si="27"/>
        <v>0.87929656274980017</v>
      </c>
      <c r="P68" s="1">
        <v>724</v>
      </c>
      <c r="Q68" s="1">
        <v>11</v>
      </c>
      <c r="R68" s="1">
        <v>465</v>
      </c>
      <c r="S68" s="1">
        <f t="shared" si="28"/>
        <v>476</v>
      </c>
      <c r="T68" s="3">
        <f t="shared" si="29"/>
        <v>2.3109243697478989</v>
      </c>
      <c r="U68" s="1">
        <v>16</v>
      </c>
      <c r="V68" s="3">
        <f t="shared" si="30"/>
        <v>3.3613445378151261</v>
      </c>
      <c r="W68" s="1">
        <v>460</v>
      </c>
      <c r="X68" s="1">
        <v>0</v>
      </c>
      <c r="Y68" s="1">
        <v>0</v>
      </c>
      <c r="Z68" s="1">
        <v>165</v>
      </c>
      <c r="AA68" s="3">
        <f t="shared" si="31"/>
        <v>34.663865546218489</v>
      </c>
      <c r="AB68" s="1">
        <v>2</v>
      </c>
      <c r="AC68" s="3">
        <f t="shared" si="32"/>
        <v>0.42016806722689076</v>
      </c>
      <c r="AD68" s="1">
        <v>42</v>
      </c>
      <c r="AE68" s="3">
        <f t="shared" si="33"/>
        <v>8.8235294117647065</v>
      </c>
      <c r="AF68" s="1">
        <v>30</v>
      </c>
      <c r="AG68" s="3">
        <f t="shared" si="34"/>
        <v>6.3025210084033612</v>
      </c>
      <c r="AH68" s="1">
        <v>120</v>
      </c>
      <c r="AI68" s="3">
        <f t="shared" si="35"/>
        <v>25.210084033613445</v>
      </c>
      <c r="AJ68" s="1">
        <v>34</v>
      </c>
      <c r="AK68" s="3">
        <f t="shared" si="36"/>
        <v>7.1428571428571432</v>
      </c>
      <c r="AL68" s="1">
        <v>25</v>
      </c>
      <c r="AM68" s="3">
        <f t="shared" si="37"/>
        <v>5.2521008403361344</v>
      </c>
      <c r="AN68" s="1">
        <v>1</v>
      </c>
      <c r="AO68" s="3">
        <f t="shared" si="38"/>
        <v>0.21008403361344538</v>
      </c>
      <c r="AP68" s="1">
        <v>5</v>
      </c>
      <c r="AQ68" s="3">
        <f t="shared" si="39"/>
        <v>1.0504201680672269</v>
      </c>
      <c r="AR68" s="1">
        <v>5</v>
      </c>
      <c r="AS68" s="3">
        <f t="shared" si="40"/>
        <v>1.0504201680672269</v>
      </c>
      <c r="AT68" s="1">
        <v>0</v>
      </c>
      <c r="AU68" s="3">
        <f t="shared" si="41"/>
        <v>0</v>
      </c>
      <c r="AV68" s="1">
        <v>4</v>
      </c>
      <c r="AW68" s="3">
        <f t="shared" si="42"/>
        <v>0.84033613445378152</v>
      </c>
      <c r="AX68" s="1">
        <v>9</v>
      </c>
      <c r="AY68" s="3">
        <f t="shared" si="43"/>
        <v>1.8907563025210083</v>
      </c>
      <c r="AZ68" s="1">
        <v>18</v>
      </c>
      <c r="BA68" s="3">
        <f t="shared" si="44"/>
        <v>3.7815126050420167</v>
      </c>
      <c r="BB68" t="s">
        <v>209</v>
      </c>
      <c r="BD68"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-55.151515151515184</v>
      </c>
      <c r="BE68" s="13">
        <f>2*(Дума_партии[[#This Row],[5. Всероссийская политическая партия "ЕДИНАЯ РОССИЯ"]]-(AB$124/100)*Дума_партии[[#This Row],[Число действительных избирательных бюллетеней]])</f>
        <v>-72.800000000000011</v>
      </c>
      <c r="BF68" s="13">
        <f>(Дума_партии[[#This Row],[Вброс]]+Дума_партии[[#This Row],[Перекладывание]])/2</f>
        <v>-63.975757575757598</v>
      </c>
      <c r="BG68" s="13" t="s">
        <v>255</v>
      </c>
    </row>
    <row r="69" spans="1:59" x14ac:dyDescent="0.4">
      <c r="A69" s="1" t="s">
        <v>49</v>
      </c>
      <c r="B69" s="1" t="s">
        <v>50</v>
      </c>
      <c r="C69" s="1" t="s">
        <v>51</v>
      </c>
      <c r="D69" s="1" t="s">
        <v>102</v>
      </c>
      <c r="E69" s="1" t="s">
        <v>170</v>
      </c>
      <c r="F69" s="10">
        <f t="shared" ca="1" si="25"/>
        <v>1809</v>
      </c>
      <c r="G69" s="1" t="s">
        <v>237</v>
      </c>
      <c r="H69" s="1">
        <v>1200</v>
      </c>
      <c r="I69" s="10">
        <f>Дума_партии[[#This Row],[Число избирателей, внесенных в список избирателей на момент окончания голосования]]</f>
        <v>1200</v>
      </c>
      <c r="J69" s="1">
        <v>1200</v>
      </c>
      <c r="K69" s="1">
        <v>0</v>
      </c>
      <c r="L69" s="1">
        <v>414</v>
      </c>
      <c r="M69" s="1">
        <v>10</v>
      </c>
      <c r="N69" s="3">
        <f t="shared" si="26"/>
        <v>35.333333333333336</v>
      </c>
      <c r="O69" s="3">
        <f t="shared" si="27"/>
        <v>0.83333333333333337</v>
      </c>
      <c r="P69" s="1">
        <v>776</v>
      </c>
      <c r="Q69" s="1">
        <v>10</v>
      </c>
      <c r="R69" s="1">
        <v>414</v>
      </c>
      <c r="S69" s="1">
        <f t="shared" si="28"/>
        <v>424</v>
      </c>
      <c r="T69" s="3">
        <f t="shared" si="29"/>
        <v>2.358490566037736</v>
      </c>
      <c r="U69" s="1">
        <v>12</v>
      </c>
      <c r="V69" s="3">
        <f t="shared" si="30"/>
        <v>2.8301886792452828</v>
      </c>
      <c r="W69" s="1">
        <v>412</v>
      </c>
      <c r="X69" s="1">
        <v>0</v>
      </c>
      <c r="Y69" s="1">
        <v>0</v>
      </c>
      <c r="Z69" s="1">
        <v>129</v>
      </c>
      <c r="AA69" s="3">
        <f t="shared" si="31"/>
        <v>30.424528301886792</v>
      </c>
      <c r="AB69" s="1">
        <v>7</v>
      </c>
      <c r="AC69" s="3">
        <f t="shared" si="32"/>
        <v>1.6509433962264151</v>
      </c>
      <c r="AD69" s="1">
        <v>33</v>
      </c>
      <c r="AE69" s="3">
        <f t="shared" si="33"/>
        <v>7.783018867924528</v>
      </c>
      <c r="AF69" s="1">
        <v>34</v>
      </c>
      <c r="AG69" s="3">
        <f t="shared" si="34"/>
        <v>8.0188679245283012</v>
      </c>
      <c r="AH69" s="1">
        <v>124</v>
      </c>
      <c r="AI69" s="3">
        <f t="shared" si="35"/>
        <v>29.245283018867923</v>
      </c>
      <c r="AJ69" s="1">
        <v>35</v>
      </c>
      <c r="AK69" s="3">
        <f t="shared" si="36"/>
        <v>8.2547169811320753</v>
      </c>
      <c r="AL69" s="1">
        <v>13</v>
      </c>
      <c r="AM69" s="3">
        <f t="shared" si="37"/>
        <v>3.0660377358490565</v>
      </c>
      <c r="AN69" s="1">
        <v>4</v>
      </c>
      <c r="AO69" s="3">
        <f t="shared" si="38"/>
        <v>0.94339622641509435</v>
      </c>
      <c r="AP69" s="1">
        <v>1</v>
      </c>
      <c r="AQ69" s="3">
        <f t="shared" si="39"/>
        <v>0.23584905660377359</v>
      </c>
      <c r="AR69" s="1">
        <v>4</v>
      </c>
      <c r="AS69" s="3">
        <f t="shared" si="40"/>
        <v>0.94339622641509435</v>
      </c>
      <c r="AT69" s="1">
        <v>0</v>
      </c>
      <c r="AU69" s="3">
        <f t="shared" si="41"/>
        <v>0</v>
      </c>
      <c r="AV69" s="1">
        <v>4</v>
      </c>
      <c r="AW69" s="3">
        <f t="shared" si="42"/>
        <v>0.94339622641509435</v>
      </c>
      <c r="AX69" s="1">
        <v>8</v>
      </c>
      <c r="AY69" s="3">
        <f t="shared" si="43"/>
        <v>1.8867924528301887</v>
      </c>
      <c r="AZ69" s="1">
        <v>16</v>
      </c>
      <c r="BA69" s="3">
        <f t="shared" si="44"/>
        <v>3.7735849056603774</v>
      </c>
      <c r="BB69" t="s">
        <v>209</v>
      </c>
      <c r="BD69"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-24.363636363636402</v>
      </c>
      <c r="BE69" s="13">
        <f>2*(Дума_партии[[#This Row],[5. Всероссийская политическая партия "ЕДИНАЯ РОССИЯ"]]-(AB$124/100)*Дума_партии[[#This Row],[Число действительных избирательных бюллетеней]])</f>
        <v>-32.160000000000025</v>
      </c>
      <c r="BF69" s="13">
        <f>(Дума_партии[[#This Row],[Вброс]]+Дума_партии[[#This Row],[Перекладывание]])/2</f>
        <v>-28.261818181818214</v>
      </c>
      <c r="BG69" s="13" t="s">
        <v>255</v>
      </c>
    </row>
    <row r="70" spans="1:59" x14ac:dyDescent="0.4">
      <c r="A70" s="1" t="s">
        <v>49</v>
      </c>
      <c r="B70" s="1" t="s">
        <v>50</v>
      </c>
      <c r="C70" s="1" t="s">
        <v>51</v>
      </c>
      <c r="D70" s="1" t="s">
        <v>102</v>
      </c>
      <c r="E70" s="1" t="s">
        <v>171</v>
      </c>
      <c r="F70" s="10">
        <f t="shared" ca="1" si="25"/>
        <v>1810</v>
      </c>
      <c r="G70" s="1" t="s">
        <v>237</v>
      </c>
      <c r="H70" s="1">
        <v>1269</v>
      </c>
      <c r="I70" s="10">
        <f>Дума_партии[[#This Row],[Число избирателей, внесенных в список избирателей на момент окончания голосования]]</f>
        <v>1269</v>
      </c>
      <c r="J70" s="1">
        <v>1200</v>
      </c>
      <c r="K70" s="1">
        <v>0</v>
      </c>
      <c r="L70" s="1">
        <v>430</v>
      </c>
      <c r="M70" s="1">
        <v>5</v>
      </c>
      <c r="N70" s="3">
        <f t="shared" si="26"/>
        <v>34.278959810874703</v>
      </c>
      <c r="O70" s="3">
        <f t="shared" si="27"/>
        <v>0.39401103230890466</v>
      </c>
      <c r="P70" s="1">
        <v>765</v>
      </c>
      <c r="Q70" s="1">
        <v>5</v>
      </c>
      <c r="R70" s="1">
        <v>430</v>
      </c>
      <c r="S70" s="1">
        <f t="shared" si="28"/>
        <v>435</v>
      </c>
      <c r="T70" s="3">
        <f t="shared" si="29"/>
        <v>1.1494252873563218</v>
      </c>
      <c r="U70" s="1">
        <v>16</v>
      </c>
      <c r="V70" s="3">
        <f t="shared" si="30"/>
        <v>3.6781609195402298</v>
      </c>
      <c r="W70" s="1">
        <v>419</v>
      </c>
      <c r="X70" s="1">
        <v>0</v>
      </c>
      <c r="Y70" s="1">
        <v>0</v>
      </c>
      <c r="Z70" s="1">
        <v>117</v>
      </c>
      <c r="AA70" s="3">
        <f t="shared" si="31"/>
        <v>26.896551724137932</v>
      </c>
      <c r="AB70" s="1">
        <v>7</v>
      </c>
      <c r="AC70" s="3">
        <f t="shared" si="32"/>
        <v>1.6091954022988506</v>
      </c>
      <c r="AD70" s="1">
        <v>31</v>
      </c>
      <c r="AE70" s="3">
        <f t="shared" si="33"/>
        <v>7.1264367816091951</v>
      </c>
      <c r="AF70" s="1">
        <v>17</v>
      </c>
      <c r="AG70" s="3">
        <f t="shared" si="34"/>
        <v>3.9080459770114944</v>
      </c>
      <c r="AH70" s="1">
        <v>184</v>
      </c>
      <c r="AI70" s="3">
        <f t="shared" si="35"/>
        <v>42.298850574712645</v>
      </c>
      <c r="AJ70" s="1">
        <v>22</v>
      </c>
      <c r="AK70" s="3">
        <f t="shared" si="36"/>
        <v>5.0574712643678161</v>
      </c>
      <c r="AL70" s="1">
        <v>9</v>
      </c>
      <c r="AM70" s="3">
        <f t="shared" si="37"/>
        <v>2.0689655172413794</v>
      </c>
      <c r="AN70" s="1">
        <v>2</v>
      </c>
      <c r="AO70" s="3">
        <f t="shared" si="38"/>
        <v>0.45977011494252873</v>
      </c>
      <c r="AP70" s="1">
        <v>7</v>
      </c>
      <c r="AQ70" s="3">
        <f t="shared" si="39"/>
        <v>1.6091954022988506</v>
      </c>
      <c r="AR70" s="1">
        <v>4</v>
      </c>
      <c r="AS70" s="3">
        <f t="shared" si="40"/>
        <v>0.91954022988505746</v>
      </c>
      <c r="AT70" s="1">
        <v>0</v>
      </c>
      <c r="AU70" s="3">
        <f t="shared" si="41"/>
        <v>0</v>
      </c>
      <c r="AV70" s="1">
        <v>2</v>
      </c>
      <c r="AW70" s="3">
        <f t="shared" si="42"/>
        <v>0.45977011494252873</v>
      </c>
      <c r="AX70" s="1">
        <v>5</v>
      </c>
      <c r="AY70" s="3">
        <f t="shared" si="43"/>
        <v>1.1494252873563218</v>
      </c>
      <c r="AZ70" s="1">
        <v>12</v>
      </c>
      <c r="BA70" s="3">
        <f t="shared" si="44"/>
        <v>2.7586206896551726</v>
      </c>
      <c r="BB70" t="s">
        <v>209</v>
      </c>
      <c r="BD70"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62.939393939393923</v>
      </c>
      <c r="BE70" s="13">
        <f>2*(Дума_партии[[#This Row],[5. Всероссийская политическая партия "ЕДИНАЯ РОССИЯ"]]-(AB$124/100)*Дума_партии[[#This Row],[Число действительных избирательных бюллетеней]])</f>
        <v>83.079999999999984</v>
      </c>
      <c r="BF70" s="13">
        <f>(Дума_партии[[#This Row],[Вброс]]+Дума_партии[[#This Row],[Перекладывание]])/2</f>
        <v>73.009696969696961</v>
      </c>
      <c r="BG70" s="13" t="s">
        <v>255</v>
      </c>
    </row>
    <row r="71" spans="1:59" x14ac:dyDescent="0.4">
      <c r="A71" s="1" t="s">
        <v>49</v>
      </c>
      <c r="B71" s="1" t="s">
        <v>50</v>
      </c>
      <c r="C71" s="1" t="s">
        <v>51</v>
      </c>
      <c r="D71" s="1" t="s">
        <v>102</v>
      </c>
      <c r="E71" s="1" t="s">
        <v>172</v>
      </c>
      <c r="F71" s="10">
        <f t="shared" ca="1" si="25"/>
        <v>1811</v>
      </c>
      <c r="G71" s="1" t="s">
        <v>237</v>
      </c>
      <c r="H71" s="1">
        <v>806</v>
      </c>
      <c r="I71" s="10">
        <f>Дума_партии[[#This Row],[Число избирателей, внесенных в список избирателей на момент окончания голосования]]</f>
        <v>806</v>
      </c>
      <c r="J71" s="1">
        <v>800</v>
      </c>
      <c r="K71" s="1">
        <v>0</v>
      </c>
      <c r="L71" s="1">
        <v>329</v>
      </c>
      <c r="M71" s="1">
        <v>2</v>
      </c>
      <c r="N71" s="3">
        <f t="shared" si="26"/>
        <v>41.066997518610421</v>
      </c>
      <c r="O71" s="3">
        <f t="shared" si="27"/>
        <v>0.24813895781637718</v>
      </c>
      <c r="P71" s="1">
        <v>469</v>
      </c>
      <c r="Q71" s="1">
        <v>2</v>
      </c>
      <c r="R71" s="1">
        <v>327</v>
      </c>
      <c r="S71" s="1">
        <f t="shared" si="28"/>
        <v>329</v>
      </c>
      <c r="T71" s="3">
        <f t="shared" si="29"/>
        <v>0.60790273556231</v>
      </c>
      <c r="U71" s="1">
        <v>1</v>
      </c>
      <c r="V71" s="3">
        <f t="shared" si="30"/>
        <v>0.303951367781155</v>
      </c>
      <c r="W71" s="1">
        <v>328</v>
      </c>
      <c r="X71" s="1">
        <v>0</v>
      </c>
      <c r="Y71" s="1">
        <v>0</v>
      </c>
      <c r="Z71" s="1">
        <v>109</v>
      </c>
      <c r="AA71" s="3">
        <f t="shared" si="31"/>
        <v>33.130699088145896</v>
      </c>
      <c r="AB71" s="1">
        <v>5</v>
      </c>
      <c r="AC71" s="3">
        <f t="shared" si="32"/>
        <v>1.5197568389057752</v>
      </c>
      <c r="AD71" s="1">
        <v>22</v>
      </c>
      <c r="AE71" s="3">
        <f t="shared" si="33"/>
        <v>6.6869300911854106</v>
      </c>
      <c r="AF71" s="1">
        <v>25</v>
      </c>
      <c r="AG71" s="3">
        <f t="shared" si="34"/>
        <v>7.598784194528875</v>
      </c>
      <c r="AH71" s="1">
        <v>106</v>
      </c>
      <c r="AI71" s="3">
        <f t="shared" si="35"/>
        <v>32.218844984802431</v>
      </c>
      <c r="AJ71" s="1">
        <v>25</v>
      </c>
      <c r="AK71" s="3">
        <f t="shared" si="36"/>
        <v>7.598784194528875</v>
      </c>
      <c r="AL71" s="1">
        <v>11</v>
      </c>
      <c r="AM71" s="3">
        <f t="shared" si="37"/>
        <v>3.3434650455927053</v>
      </c>
      <c r="AN71" s="1">
        <v>1</v>
      </c>
      <c r="AO71" s="3">
        <f t="shared" si="38"/>
        <v>0.303951367781155</v>
      </c>
      <c r="AP71" s="1">
        <v>7</v>
      </c>
      <c r="AQ71" s="3">
        <f t="shared" si="39"/>
        <v>2.1276595744680851</v>
      </c>
      <c r="AR71" s="1">
        <v>2</v>
      </c>
      <c r="AS71" s="3">
        <f t="shared" si="40"/>
        <v>0.60790273556231</v>
      </c>
      <c r="AT71" s="1">
        <v>0</v>
      </c>
      <c r="AU71" s="3">
        <f t="shared" si="41"/>
        <v>0</v>
      </c>
      <c r="AV71" s="1">
        <v>2</v>
      </c>
      <c r="AW71" s="3">
        <f t="shared" si="42"/>
        <v>0.60790273556231</v>
      </c>
      <c r="AX71" s="1">
        <v>0</v>
      </c>
      <c r="AY71" s="3">
        <f t="shared" si="43"/>
        <v>0</v>
      </c>
      <c r="AZ71" s="1">
        <v>13</v>
      </c>
      <c r="BA71" s="3">
        <f t="shared" si="44"/>
        <v>3.9513677811550152</v>
      </c>
      <c r="BB71" t="s">
        <v>209</v>
      </c>
      <c r="BD71"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-8.3636363636363882</v>
      </c>
      <c r="BE71" s="13">
        <f>2*(Дума_партии[[#This Row],[5. Всероссийская политическая партия "ЕДИНАЯ РОССИЯ"]]-(AB$124/100)*Дума_партии[[#This Row],[Число действительных избирательных бюллетеней]])</f>
        <v>-11.04000000000002</v>
      </c>
      <c r="BF71" s="13">
        <f>(Дума_партии[[#This Row],[Вброс]]+Дума_партии[[#This Row],[Перекладывание]])/2</f>
        <v>-9.7018181818182043</v>
      </c>
      <c r="BG71" s="13" t="s">
        <v>255</v>
      </c>
    </row>
    <row r="72" spans="1:59" x14ac:dyDescent="0.4">
      <c r="A72" s="1" t="s">
        <v>49</v>
      </c>
      <c r="B72" s="1" t="s">
        <v>50</v>
      </c>
      <c r="C72" s="1" t="s">
        <v>51</v>
      </c>
      <c r="D72" s="1" t="s">
        <v>102</v>
      </c>
      <c r="E72" s="1" t="s">
        <v>173</v>
      </c>
      <c r="F72" s="10">
        <f t="shared" ref="F72:F103" ca="1" si="45">SUMPRODUCT(MID(0&amp;E72, LARGE(INDEX(ISNUMBER(--MID(E72, ROW(INDIRECT("1:"&amp;LEN(E72))), 1)) * ROW(INDIRECT("1:"&amp;LEN(E72))), 0), ROW(INDIRECT("1:"&amp;LEN(E72))))+1, 1) * 10^ROW(INDIRECT("1:"&amp;LEN(E72)))/10)</f>
        <v>1812</v>
      </c>
      <c r="G72" s="1" t="s">
        <v>238</v>
      </c>
      <c r="H72" s="1">
        <v>555</v>
      </c>
      <c r="I72" s="10">
        <f>Дума_партии[[#This Row],[Число избирателей, внесенных в список избирателей на момент окончания голосования]]</f>
        <v>555</v>
      </c>
      <c r="J72" s="1">
        <v>500</v>
      </c>
      <c r="K72" s="1">
        <v>0</v>
      </c>
      <c r="L72" s="1">
        <v>146</v>
      </c>
      <c r="M72" s="1">
        <v>4</v>
      </c>
      <c r="N72" s="3">
        <f t="shared" ref="N72:N103" si="46">100*(L72+M72)/H72</f>
        <v>27.027027027027028</v>
      </c>
      <c r="O72" s="3">
        <f t="shared" ref="O72:O105" si="47">100*M72/H72</f>
        <v>0.72072072072072069</v>
      </c>
      <c r="P72" s="1">
        <v>350</v>
      </c>
      <c r="Q72" s="1">
        <v>4</v>
      </c>
      <c r="R72" s="1">
        <v>146</v>
      </c>
      <c r="S72" s="1">
        <f t="shared" ref="S72:S103" si="48">Q72+R72</f>
        <v>150</v>
      </c>
      <c r="T72" s="3">
        <f t="shared" ref="T72:T103" si="49">100*Q72/S72</f>
        <v>2.6666666666666665</v>
      </c>
      <c r="U72" s="1">
        <v>2</v>
      </c>
      <c r="V72" s="3">
        <f t="shared" ref="V72:V103" si="50">100*U72/S72</f>
        <v>1.3333333333333333</v>
      </c>
      <c r="W72" s="1">
        <v>148</v>
      </c>
      <c r="X72" s="1">
        <v>0</v>
      </c>
      <c r="Y72" s="1">
        <v>0</v>
      </c>
      <c r="Z72" s="1">
        <v>59</v>
      </c>
      <c r="AA72" s="3">
        <f t="shared" ref="AA72:AA103" si="51">100*Z72/$S72</f>
        <v>39.333333333333336</v>
      </c>
      <c r="AB72" s="1">
        <v>1</v>
      </c>
      <c r="AC72" s="3">
        <f t="shared" ref="AC72:AC103" si="52">100*AB72/$S72</f>
        <v>0.66666666666666663</v>
      </c>
      <c r="AD72" s="1">
        <v>17</v>
      </c>
      <c r="AE72" s="3">
        <f t="shared" ref="AE72:AE103" si="53">100*AD72/$S72</f>
        <v>11.333333333333334</v>
      </c>
      <c r="AF72" s="1">
        <v>17</v>
      </c>
      <c r="AG72" s="3">
        <f t="shared" ref="AG72:AG103" si="54">100*AF72/$S72</f>
        <v>11.333333333333334</v>
      </c>
      <c r="AH72" s="1">
        <v>27</v>
      </c>
      <c r="AI72" s="3">
        <f t="shared" ref="AI72:AI103" si="55">100*AH72/$S72</f>
        <v>18</v>
      </c>
      <c r="AJ72" s="1">
        <v>9</v>
      </c>
      <c r="AK72" s="3">
        <f t="shared" ref="AK72:AK103" si="56">100*AJ72/$S72</f>
        <v>6</v>
      </c>
      <c r="AL72" s="1">
        <v>3</v>
      </c>
      <c r="AM72" s="3">
        <f t="shared" ref="AM72:AM103" si="57">100*AL72/$S72</f>
        <v>2</v>
      </c>
      <c r="AN72" s="1">
        <v>1</v>
      </c>
      <c r="AO72" s="3">
        <f t="shared" ref="AO72:AO103" si="58">100*AN72/$S72</f>
        <v>0.66666666666666663</v>
      </c>
      <c r="AP72" s="1">
        <v>0</v>
      </c>
      <c r="AQ72" s="3">
        <f t="shared" ref="AQ72:AQ103" si="59">100*AP72/$S72</f>
        <v>0</v>
      </c>
      <c r="AR72" s="1">
        <v>5</v>
      </c>
      <c r="AS72" s="3">
        <f t="shared" ref="AS72:AS103" si="60">100*AR72/$S72</f>
        <v>3.3333333333333335</v>
      </c>
      <c r="AT72" s="1">
        <v>0</v>
      </c>
      <c r="AU72" s="3">
        <f t="shared" ref="AU72:AU103" si="61">100*AT72/$S72</f>
        <v>0</v>
      </c>
      <c r="AV72" s="1">
        <v>2</v>
      </c>
      <c r="AW72" s="3">
        <f t="shared" ref="AW72:AW103" si="62">100*AV72/$S72</f>
        <v>1.3333333333333333</v>
      </c>
      <c r="AX72" s="1">
        <v>2</v>
      </c>
      <c r="AY72" s="3">
        <f t="shared" ref="AY72:AY103" si="63">100*AX72/$S72</f>
        <v>1.3333333333333333</v>
      </c>
      <c r="AZ72" s="1">
        <v>5</v>
      </c>
      <c r="BA72" s="3">
        <f t="shared" ref="BA72:BA103" si="64">100*AZ72/$S72</f>
        <v>3.3333333333333335</v>
      </c>
      <c r="BB72" t="s">
        <v>209</v>
      </c>
      <c r="BD72"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-35.333333333333343</v>
      </c>
      <c r="BE72" s="13">
        <f>2*(Дума_партии[[#This Row],[5. Всероссийская политическая партия "ЕДИНАЯ РОССИЯ"]]-(AB$124/100)*Дума_партии[[#This Row],[Число действительных избирательных бюллетеней]])</f>
        <v>-46.64</v>
      </c>
      <c r="BF72" s="13">
        <f>(Дума_партии[[#This Row],[Вброс]]+Дума_партии[[#This Row],[Перекладывание]])/2</f>
        <v>-40.986666666666672</v>
      </c>
      <c r="BG72" s="13" t="s">
        <v>255</v>
      </c>
    </row>
    <row r="73" spans="1:59" x14ac:dyDescent="0.4">
      <c r="A73" s="1" t="s">
        <v>49</v>
      </c>
      <c r="B73" s="1" t="s">
        <v>50</v>
      </c>
      <c r="C73" s="1" t="s">
        <v>51</v>
      </c>
      <c r="D73" s="1" t="s">
        <v>102</v>
      </c>
      <c r="E73" s="1" t="s">
        <v>174</v>
      </c>
      <c r="F73" s="10">
        <f t="shared" ca="1" si="45"/>
        <v>1813</v>
      </c>
      <c r="G73" s="1" t="s">
        <v>239</v>
      </c>
      <c r="H73" s="1">
        <v>2030</v>
      </c>
      <c r="I73" s="10">
        <f>Дума_партии[[#This Row],[Число избирателей, внесенных в список избирателей на момент окончания голосования]]</f>
        <v>2030</v>
      </c>
      <c r="J73" s="1">
        <v>2000</v>
      </c>
      <c r="K73" s="1">
        <v>0</v>
      </c>
      <c r="L73" s="1">
        <v>635</v>
      </c>
      <c r="M73" s="1">
        <v>60</v>
      </c>
      <c r="N73" s="3">
        <f t="shared" si="46"/>
        <v>34.236453201970441</v>
      </c>
      <c r="O73" s="3">
        <f t="shared" si="47"/>
        <v>2.9556650246305418</v>
      </c>
      <c r="P73" s="1">
        <v>1305</v>
      </c>
      <c r="Q73" s="1">
        <v>60</v>
      </c>
      <c r="R73" s="1">
        <v>635</v>
      </c>
      <c r="S73" s="1">
        <f t="shared" si="48"/>
        <v>695</v>
      </c>
      <c r="T73" s="3">
        <f t="shared" si="49"/>
        <v>8.6330935251798557</v>
      </c>
      <c r="U73" s="1">
        <v>18</v>
      </c>
      <c r="V73" s="3">
        <f t="shared" si="50"/>
        <v>2.5899280575539567</v>
      </c>
      <c r="W73" s="1">
        <v>677</v>
      </c>
      <c r="X73" s="1">
        <v>0</v>
      </c>
      <c r="Y73" s="1">
        <v>0</v>
      </c>
      <c r="Z73" s="1">
        <v>174</v>
      </c>
      <c r="AA73" s="3">
        <f t="shared" si="51"/>
        <v>25.035971223021583</v>
      </c>
      <c r="AB73" s="1">
        <v>8</v>
      </c>
      <c r="AC73" s="3">
        <f t="shared" si="52"/>
        <v>1.1510791366906474</v>
      </c>
      <c r="AD73" s="1">
        <v>78</v>
      </c>
      <c r="AE73" s="3">
        <f t="shared" si="53"/>
        <v>11.223021582733812</v>
      </c>
      <c r="AF73" s="1">
        <v>47</v>
      </c>
      <c r="AG73" s="3">
        <f t="shared" si="54"/>
        <v>6.7625899280575537</v>
      </c>
      <c r="AH73" s="1">
        <v>229</v>
      </c>
      <c r="AI73" s="3">
        <f t="shared" si="55"/>
        <v>32.949640287769782</v>
      </c>
      <c r="AJ73" s="1">
        <v>63</v>
      </c>
      <c r="AK73" s="3">
        <f t="shared" si="56"/>
        <v>9.0647482014388494</v>
      </c>
      <c r="AL73" s="1">
        <v>21</v>
      </c>
      <c r="AM73" s="3">
        <f t="shared" si="57"/>
        <v>3.0215827338129495</v>
      </c>
      <c r="AN73" s="1">
        <v>2</v>
      </c>
      <c r="AO73" s="3">
        <f t="shared" si="58"/>
        <v>0.28776978417266186</v>
      </c>
      <c r="AP73" s="1">
        <v>8</v>
      </c>
      <c r="AQ73" s="3">
        <f t="shared" si="59"/>
        <v>1.1510791366906474</v>
      </c>
      <c r="AR73" s="1">
        <v>16</v>
      </c>
      <c r="AS73" s="3">
        <f t="shared" si="60"/>
        <v>2.3021582733812949</v>
      </c>
      <c r="AT73" s="1">
        <v>2</v>
      </c>
      <c r="AU73" s="3">
        <f t="shared" si="61"/>
        <v>0.28776978417266186</v>
      </c>
      <c r="AV73" s="1">
        <v>4</v>
      </c>
      <c r="AW73" s="3">
        <f t="shared" si="62"/>
        <v>0.57553956834532372</v>
      </c>
      <c r="AX73" s="1">
        <v>7</v>
      </c>
      <c r="AY73" s="3">
        <f t="shared" si="63"/>
        <v>1.0071942446043165</v>
      </c>
      <c r="AZ73" s="1">
        <v>18</v>
      </c>
      <c r="BA73" s="3">
        <f t="shared" si="64"/>
        <v>2.5899280575539567</v>
      </c>
      <c r="BB73" t="s">
        <v>209</v>
      </c>
      <c r="BD73"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-1.7878787878788387</v>
      </c>
      <c r="BE73" s="13">
        <f>2*(Дума_партии[[#This Row],[5. Всероссийская политическая партия "ЕДИНАЯ РОССИЯ"]]-(AB$124/100)*Дума_партии[[#This Row],[Число действительных избирательных бюллетеней]])</f>
        <v>-2.3600000000000136</v>
      </c>
      <c r="BF73" s="13">
        <f>(Дума_партии[[#This Row],[Вброс]]+Дума_партии[[#This Row],[Перекладывание]])/2</f>
        <v>-2.0739393939394262</v>
      </c>
      <c r="BG73" s="13" t="s">
        <v>255</v>
      </c>
    </row>
    <row r="74" spans="1:59" x14ac:dyDescent="0.4">
      <c r="A74" s="1" t="s">
        <v>49</v>
      </c>
      <c r="B74" s="1" t="s">
        <v>50</v>
      </c>
      <c r="C74" s="1" t="s">
        <v>51</v>
      </c>
      <c r="D74" s="1" t="s">
        <v>102</v>
      </c>
      <c r="E74" s="1" t="s">
        <v>175</v>
      </c>
      <c r="F74" s="10">
        <f t="shared" ca="1" si="45"/>
        <v>1814</v>
      </c>
      <c r="G74" s="1" t="s">
        <v>240</v>
      </c>
      <c r="H74" s="1">
        <v>658</v>
      </c>
      <c r="I74" s="10">
        <f>Дума_партии[[#This Row],[Число избирателей, внесенных в список избирателей на момент окончания голосования]]</f>
        <v>658</v>
      </c>
      <c r="J74" s="1">
        <v>600</v>
      </c>
      <c r="K74" s="1">
        <v>0</v>
      </c>
      <c r="L74" s="1">
        <v>291</v>
      </c>
      <c r="M74" s="1">
        <v>123</v>
      </c>
      <c r="N74" s="3">
        <f t="shared" si="46"/>
        <v>62.91793313069909</v>
      </c>
      <c r="O74" s="3">
        <f t="shared" si="47"/>
        <v>18.693009118541035</v>
      </c>
      <c r="P74" s="1">
        <v>186</v>
      </c>
      <c r="Q74" s="1">
        <v>123</v>
      </c>
      <c r="R74" s="1">
        <v>291</v>
      </c>
      <c r="S74" s="1">
        <f t="shared" si="48"/>
        <v>414</v>
      </c>
      <c r="T74" s="3">
        <f t="shared" si="49"/>
        <v>29.710144927536231</v>
      </c>
      <c r="U74" s="1">
        <v>31</v>
      </c>
      <c r="V74" s="3">
        <f t="shared" si="50"/>
        <v>7.4879227053140101</v>
      </c>
      <c r="W74" s="1">
        <v>383</v>
      </c>
      <c r="X74" s="1">
        <v>0</v>
      </c>
      <c r="Y74" s="1">
        <v>0</v>
      </c>
      <c r="Z74" s="1">
        <v>35</v>
      </c>
      <c r="AA74" s="3">
        <f t="shared" si="51"/>
        <v>8.454106280193237</v>
      </c>
      <c r="AB74" s="1">
        <v>2</v>
      </c>
      <c r="AC74" s="3">
        <f t="shared" si="52"/>
        <v>0.48309178743961351</v>
      </c>
      <c r="AD74" s="1">
        <v>28</v>
      </c>
      <c r="AE74" s="3">
        <f t="shared" si="53"/>
        <v>6.7632850241545892</v>
      </c>
      <c r="AF74" s="1">
        <v>11</v>
      </c>
      <c r="AG74" s="3">
        <f t="shared" si="54"/>
        <v>2.6570048309178742</v>
      </c>
      <c r="AH74" s="1">
        <v>277</v>
      </c>
      <c r="AI74" s="3">
        <f t="shared" si="55"/>
        <v>66.908212560386474</v>
      </c>
      <c r="AJ74" s="1">
        <v>11</v>
      </c>
      <c r="AK74" s="3">
        <f t="shared" si="56"/>
        <v>2.6570048309178742</v>
      </c>
      <c r="AL74" s="1">
        <v>1</v>
      </c>
      <c r="AM74" s="3">
        <f t="shared" si="57"/>
        <v>0.24154589371980675</v>
      </c>
      <c r="AN74" s="1">
        <v>0</v>
      </c>
      <c r="AO74" s="3">
        <f t="shared" si="58"/>
        <v>0</v>
      </c>
      <c r="AP74" s="1">
        <v>4</v>
      </c>
      <c r="AQ74" s="3">
        <f t="shared" si="59"/>
        <v>0.96618357487922701</v>
      </c>
      <c r="AR74" s="1">
        <v>9</v>
      </c>
      <c r="AS74" s="3">
        <f t="shared" si="60"/>
        <v>2.1739130434782608</v>
      </c>
      <c r="AT74" s="1">
        <v>0</v>
      </c>
      <c r="AU74" s="3">
        <f t="shared" si="61"/>
        <v>0</v>
      </c>
      <c r="AV74" s="1">
        <v>2</v>
      </c>
      <c r="AW74" s="3">
        <f t="shared" si="62"/>
        <v>0.48309178743961351</v>
      </c>
      <c r="AX74" s="1">
        <v>0</v>
      </c>
      <c r="AY74" s="3">
        <f t="shared" si="63"/>
        <v>0</v>
      </c>
      <c r="AZ74" s="1">
        <v>3</v>
      </c>
      <c r="BA74" s="3">
        <f t="shared" si="64"/>
        <v>0.72463768115942029</v>
      </c>
      <c r="BB74" t="s">
        <v>209</v>
      </c>
      <c r="BD74"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222.39393939393938</v>
      </c>
      <c r="BE74" s="13">
        <f>2*(Дума_партии[[#This Row],[5. Всероссийская политическая партия "ЕДИНАЯ РОССИЯ"]]-(AB$124/100)*Дума_партии[[#This Row],[Число действительных избирательных бюллетеней]])</f>
        <v>293.56</v>
      </c>
      <c r="BF74" s="13">
        <f>(Дума_партии[[#This Row],[Вброс]]+Дума_партии[[#This Row],[Перекладывание]])/2</f>
        <v>257.97696969696972</v>
      </c>
      <c r="BG74" s="13">
        <v>0</v>
      </c>
    </row>
    <row r="75" spans="1:59" x14ac:dyDescent="0.4">
      <c r="A75" s="1" t="s">
        <v>49</v>
      </c>
      <c r="B75" s="1" t="s">
        <v>50</v>
      </c>
      <c r="C75" s="1" t="s">
        <v>51</v>
      </c>
      <c r="D75" s="1" t="s">
        <v>102</v>
      </c>
      <c r="E75" s="1" t="s">
        <v>176</v>
      </c>
      <c r="F75" s="10">
        <f t="shared" ca="1" si="45"/>
        <v>1815</v>
      </c>
      <c r="G75" s="1" t="s">
        <v>240</v>
      </c>
      <c r="H75" s="1">
        <v>1254</v>
      </c>
      <c r="I75" s="10">
        <f>Дума_партии[[#This Row],[Число избирателей, внесенных в список избирателей на момент окончания голосования]]</f>
        <v>1254</v>
      </c>
      <c r="J75" s="1">
        <v>1200</v>
      </c>
      <c r="K75" s="1">
        <v>0</v>
      </c>
      <c r="L75" s="1">
        <v>624</v>
      </c>
      <c r="M75" s="1">
        <v>16</v>
      </c>
      <c r="N75" s="3">
        <f t="shared" si="46"/>
        <v>51.036682615629985</v>
      </c>
      <c r="O75" s="3">
        <f t="shared" si="47"/>
        <v>1.2759170653907497</v>
      </c>
      <c r="P75" s="1">
        <v>560</v>
      </c>
      <c r="Q75" s="1">
        <v>16</v>
      </c>
      <c r="R75" s="1">
        <v>624</v>
      </c>
      <c r="S75" s="1">
        <f t="shared" si="48"/>
        <v>640</v>
      </c>
      <c r="T75" s="3">
        <f t="shared" si="49"/>
        <v>2.5</v>
      </c>
      <c r="U75" s="1">
        <v>15</v>
      </c>
      <c r="V75" s="3">
        <f t="shared" si="50"/>
        <v>2.34375</v>
      </c>
      <c r="W75" s="1">
        <v>625</v>
      </c>
      <c r="X75" s="1">
        <v>0</v>
      </c>
      <c r="Y75" s="1">
        <v>0</v>
      </c>
      <c r="Z75" s="1">
        <v>116</v>
      </c>
      <c r="AA75" s="3">
        <f t="shared" si="51"/>
        <v>18.125</v>
      </c>
      <c r="AB75" s="1">
        <v>9</v>
      </c>
      <c r="AC75" s="3">
        <f t="shared" si="52"/>
        <v>1.40625</v>
      </c>
      <c r="AD75" s="1">
        <v>48</v>
      </c>
      <c r="AE75" s="3">
        <f t="shared" si="53"/>
        <v>7.5</v>
      </c>
      <c r="AF75" s="1">
        <v>35</v>
      </c>
      <c r="AG75" s="3">
        <f t="shared" si="54"/>
        <v>5.46875</v>
      </c>
      <c r="AH75" s="1">
        <v>327</v>
      </c>
      <c r="AI75" s="3">
        <f t="shared" si="55"/>
        <v>51.09375</v>
      </c>
      <c r="AJ75" s="1">
        <v>31</v>
      </c>
      <c r="AK75" s="3">
        <f t="shared" si="56"/>
        <v>4.84375</v>
      </c>
      <c r="AL75" s="1">
        <v>5</v>
      </c>
      <c r="AM75" s="3">
        <f t="shared" si="57"/>
        <v>0.78125</v>
      </c>
      <c r="AN75" s="1">
        <v>4</v>
      </c>
      <c r="AO75" s="3">
        <f t="shared" si="58"/>
        <v>0.625</v>
      </c>
      <c r="AP75" s="1">
        <v>7</v>
      </c>
      <c r="AQ75" s="3">
        <f t="shared" si="59"/>
        <v>1.09375</v>
      </c>
      <c r="AR75" s="1">
        <v>9</v>
      </c>
      <c r="AS75" s="3">
        <f t="shared" si="60"/>
        <v>1.40625</v>
      </c>
      <c r="AT75" s="1">
        <v>0</v>
      </c>
      <c r="AU75" s="3">
        <f t="shared" si="61"/>
        <v>0</v>
      </c>
      <c r="AV75" s="1">
        <v>6</v>
      </c>
      <c r="AW75" s="3">
        <f t="shared" si="62"/>
        <v>0.9375</v>
      </c>
      <c r="AX75" s="1">
        <v>5</v>
      </c>
      <c r="AY75" s="3">
        <f t="shared" si="63"/>
        <v>0.78125</v>
      </c>
      <c r="AZ75" s="1">
        <v>23</v>
      </c>
      <c r="BA75" s="3">
        <f t="shared" si="64"/>
        <v>3.59375</v>
      </c>
      <c r="BB75" t="s">
        <v>209</v>
      </c>
      <c r="BD75"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173.48484848484844</v>
      </c>
      <c r="BE75" s="13">
        <f>2*(Дума_партии[[#This Row],[5. Всероссийская политическая партия "ЕДИНАЯ РОССИЯ"]]-(AB$124/100)*Дума_партии[[#This Row],[Число действительных избирательных бюллетеней]])</f>
        <v>228.99999999999994</v>
      </c>
      <c r="BF75" s="13">
        <f>(Дума_партии[[#This Row],[Вброс]]+Дума_партии[[#This Row],[Перекладывание]])/2</f>
        <v>201.24242424242419</v>
      </c>
      <c r="BG75" s="13">
        <v>0</v>
      </c>
    </row>
    <row r="76" spans="1:59" x14ac:dyDescent="0.4">
      <c r="A76" s="1" t="s">
        <v>49</v>
      </c>
      <c r="B76" s="1" t="s">
        <v>50</v>
      </c>
      <c r="C76" s="1" t="s">
        <v>51</v>
      </c>
      <c r="D76" s="1" t="s">
        <v>102</v>
      </c>
      <c r="E76" s="1" t="s">
        <v>177</v>
      </c>
      <c r="F76" s="10">
        <f t="shared" ca="1" si="45"/>
        <v>1816</v>
      </c>
      <c r="G76" s="1" t="s">
        <v>240</v>
      </c>
      <c r="H76" s="1">
        <v>1282</v>
      </c>
      <c r="I76" s="10">
        <f>Дума_партии[[#This Row],[Число избирателей, внесенных в список избирателей на момент окончания голосования]]</f>
        <v>1282</v>
      </c>
      <c r="J76" s="1">
        <v>1200</v>
      </c>
      <c r="K76" s="1">
        <v>0</v>
      </c>
      <c r="L76" s="1">
        <v>638</v>
      </c>
      <c r="M76" s="1">
        <v>44</v>
      </c>
      <c r="N76" s="3">
        <f t="shared" si="46"/>
        <v>53.198127925117006</v>
      </c>
      <c r="O76" s="3">
        <f t="shared" si="47"/>
        <v>3.4321372854914198</v>
      </c>
      <c r="P76" s="1">
        <v>518</v>
      </c>
      <c r="Q76" s="1">
        <v>44</v>
      </c>
      <c r="R76" s="1">
        <v>638</v>
      </c>
      <c r="S76" s="1">
        <f t="shared" si="48"/>
        <v>682</v>
      </c>
      <c r="T76" s="3">
        <f t="shared" si="49"/>
        <v>6.4516129032258061</v>
      </c>
      <c r="U76" s="1">
        <v>21</v>
      </c>
      <c r="V76" s="3">
        <f t="shared" si="50"/>
        <v>3.0791788856304985</v>
      </c>
      <c r="W76" s="1">
        <v>661</v>
      </c>
      <c r="X76" s="1">
        <v>0</v>
      </c>
      <c r="Y76" s="1">
        <v>0</v>
      </c>
      <c r="Z76" s="1">
        <v>140</v>
      </c>
      <c r="AA76" s="3">
        <f t="shared" si="51"/>
        <v>20.527859237536656</v>
      </c>
      <c r="AB76" s="1">
        <v>8</v>
      </c>
      <c r="AC76" s="3">
        <f t="shared" si="52"/>
        <v>1.1730205278592376</v>
      </c>
      <c r="AD76" s="1">
        <v>49</v>
      </c>
      <c r="AE76" s="3">
        <f t="shared" si="53"/>
        <v>7.1847507331378297</v>
      </c>
      <c r="AF76" s="1">
        <v>37</v>
      </c>
      <c r="AG76" s="3">
        <f t="shared" si="54"/>
        <v>5.4252199413489732</v>
      </c>
      <c r="AH76" s="1">
        <v>338</v>
      </c>
      <c r="AI76" s="3">
        <f t="shared" si="55"/>
        <v>49.560117302052788</v>
      </c>
      <c r="AJ76" s="1">
        <v>31</v>
      </c>
      <c r="AK76" s="3">
        <f t="shared" si="56"/>
        <v>4.5454545454545459</v>
      </c>
      <c r="AL76" s="1">
        <v>8</v>
      </c>
      <c r="AM76" s="3">
        <f t="shared" si="57"/>
        <v>1.1730205278592376</v>
      </c>
      <c r="AN76" s="1">
        <v>5</v>
      </c>
      <c r="AO76" s="3">
        <f t="shared" si="58"/>
        <v>0.73313782991202348</v>
      </c>
      <c r="AP76" s="1">
        <v>4</v>
      </c>
      <c r="AQ76" s="3">
        <f t="shared" si="59"/>
        <v>0.5865102639296188</v>
      </c>
      <c r="AR76" s="1">
        <v>12</v>
      </c>
      <c r="AS76" s="3">
        <f t="shared" si="60"/>
        <v>1.7595307917888563</v>
      </c>
      <c r="AT76" s="1">
        <v>2</v>
      </c>
      <c r="AU76" s="3">
        <f t="shared" si="61"/>
        <v>0.2932551319648094</v>
      </c>
      <c r="AV76" s="1">
        <v>7</v>
      </c>
      <c r="AW76" s="3">
        <f t="shared" si="62"/>
        <v>1.0263929618768328</v>
      </c>
      <c r="AX76" s="1">
        <v>1</v>
      </c>
      <c r="AY76" s="3">
        <f t="shared" si="63"/>
        <v>0.1466275659824047</v>
      </c>
      <c r="AZ76" s="1">
        <v>19</v>
      </c>
      <c r="BA76" s="3">
        <f t="shared" si="64"/>
        <v>2.7859237536656893</v>
      </c>
      <c r="BB76" t="s">
        <v>209</v>
      </c>
      <c r="BD76"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171.60606060606057</v>
      </c>
      <c r="BE76" s="13">
        <f>2*(Дума_партии[[#This Row],[5. Всероссийская политическая партия "ЕДИНАЯ РОССИЯ"]]-(AB$124/100)*Дума_партии[[#This Row],[Число действительных избирательных бюллетеней]])</f>
        <v>226.51999999999998</v>
      </c>
      <c r="BF76" s="13">
        <f>(Дума_партии[[#This Row],[Вброс]]+Дума_партии[[#This Row],[Перекладывание]])/2</f>
        <v>199.06303030303027</v>
      </c>
      <c r="BG76" s="13">
        <v>0</v>
      </c>
    </row>
    <row r="77" spans="1:59" x14ac:dyDescent="0.4">
      <c r="A77" s="1" t="s">
        <v>49</v>
      </c>
      <c r="B77" s="1" t="s">
        <v>50</v>
      </c>
      <c r="C77" s="1" t="s">
        <v>51</v>
      </c>
      <c r="D77" s="1" t="s">
        <v>102</v>
      </c>
      <c r="E77" s="1" t="s">
        <v>178</v>
      </c>
      <c r="F77" s="10">
        <f t="shared" ca="1" si="45"/>
        <v>1817</v>
      </c>
      <c r="G77" s="1" t="s">
        <v>241</v>
      </c>
      <c r="H77" s="1">
        <v>773</v>
      </c>
      <c r="I77" s="10">
        <f>Дума_партии[[#This Row],[Число избирателей, внесенных в список избирателей на момент окончания голосования]]</f>
        <v>773</v>
      </c>
      <c r="J77" s="1">
        <v>600</v>
      </c>
      <c r="K77" s="1">
        <v>0</v>
      </c>
      <c r="L77" s="1">
        <v>192</v>
      </c>
      <c r="M77" s="1">
        <v>165</v>
      </c>
      <c r="N77" s="3">
        <f t="shared" si="46"/>
        <v>46.183699870633895</v>
      </c>
      <c r="O77" s="3">
        <f t="shared" si="47"/>
        <v>21.345407503234153</v>
      </c>
      <c r="P77" s="1">
        <v>243</v>
      </c>
      <c r="Q77" s="1">
        <v>165</v>
      </c>
      <c r="R77" s="1">
        <v>192</v>
      </c>
      <c r="S77" s="1">
        <f t="shared" si="48"/>
        <v>357</v>
      </c>
      <c r="T77" s="3">
        <f t="shared" si="49"/>
        <v>46.218487394957982</v>
      </c>
      <c r="U77" s="1">
        <v>13</v>
      </c>
      <c r="V77" s="3">
        <f t="shared" si="50"/>
        <v>3.6414565826330532</v>
      </c>
      <c r="W77" s="1">
        <v>344</v>
      </c>
      <c r="X77" s="1">
        <v>0</v>
      </c>
      <c r="Y77" s="1">
        <v>0</v>
      </c>
      <c r="Z77" s="1">
        <v>67</v>
      </c>
      <c r="AA77" s="3">
        <f t="shared" si="51"/>
        <v>18.767507002801121</v>
      </c>
      <c r="AB77" s="1">
        <v>3</v>
      </c>
      <c r="AC77" s="3">
        <f t="shared" si="52"/>
        <v>0.84033613445378152</v>
      </c>
      <c r="AD77" s="1">
        <v>29</v>
      </c>
      <c r="AE77" s="3">
        <f t="shared" si="53"/>
        <v>8.1232492997198875</v>
      </c>
      <c r="AF77" s="1">
        <v>5</v>
      </c>
      <c r="AG77" s="3">
        <f t="shared" si="54"/>
        <v>1.4005602240896358</v>
      </c>
      <c r="AH77" s="1">
        <v>200</v>
      </c>
      <c r="AI77" s="3">
        <f t="shared" si="55"/>
        <v>56.022408963585434</v>
      </c>
      <c r="AJ77" s="1">
        <v>18</v>
      </c>
      <c r="AK77" s="3">
        <f t="shared" si="56"/>
        <v>5.0420168067226889</v>
      </c>
      <c r="AL77" s="1">
        <v>2</v>
      </c>
      <c r="AM77" s="3">
        <f t="shared" si="57"/>
        <v>0.56022408963585435</v>
      </c>
      <c r="AN77" s="1">
        <v>0</v>
      </c>
      <c r="AO77" s="3">
        <f t="shared" si="58"/>
        <v>0</v>
      </c>
      <c r="AP77" s="1">
        <v>1</v>
      </c>
      <c r="AQ77" s="3">
        <f t="shared" si="59"/>
        <v>0.28011204481792717</v>
      </c>
      <c r="AR77" s="1">
        <v>7</v>
      </c>
      <c r="AS77" s="3">
        <f t="shared" si="60"/>
        <v>1.9607843137254901</v>
      </c>
      <c r="AT77" s="1">
        <v>1</v>
      </c>
      <c r="AU77" s="3">
        <f t="shared" si="61"/>
        <v>0.28011204481792717</v>
      </c>
      <c r="AV77" s="1">
        <v>3</v>
      </c>
      <c r="AW77" s="3">
        <f t="shared" si="62"/>
        <v>0.84033613445378152</v>
      </c>
      <c r="AX77" s="1">
        <v>1</v>
      </c>
      <c r="AY77" s="3">
        <f t="shared" si="63"/>
        <v>0.28011204481792717</v>
      </c>
      <c r="AZ77" s="1">
        <v>7</v>
      </c>
      <c r="BA77" s="3">
        <f t="shared" si="64"/>
        <v>1.9607843137254901</v>
      </c>
      <c r="BB77" t="s">
        <v>209</v>
      </c>
      <c r="BD77"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125.8181818181818</v>
      </c>
      <c r="BE77" s="13">
        <f>2*(Дума_партии[[#This Row],[5. Всероссийская политическая партия "ЕДИНАЯ РОССИЯ"]]-(AB$124/100)*Дума_партии[[#This Row],[Число действительных избирательных бюллетеней]])</f>
        <v>166.07999999999998</v>
      </c>
      <c r="BF77" s="13">
        <f>(Дума_партии[[#This Row],[Вброс]]+Дума_партии[[#This Row],[Перекладывание]])/2</f>
        <v>145.9490909090909</v>
      </c>
      <c r="BG77" s="13">
        <v>0</v>
      </c>
    </row>
    <row r="78" spans="1:59" x14ac:dyDescent="0.4">
      <c r="A78" s="1" t="s">
        <v>49</v>
      </c>
      <c r="B78" s="1" t="s">
        <v>50</v>
      </c>
      <c r="C78" s="1" t="s">
        <v>51</v>
      </c>
      <c r="D78" s="1" t="s">
        <v>102</v>
      </c>
      <c r="E78" s="1" t="s">
        <v>179</v>
      </c>
      <c r="F78" s="10">
        <f t="shared" ca="1" si="45"/>
        <v>1818</v>
      </c>
      <c r="G78" t="s">
        <v>241</v>
      </c>
      <c r="H78" s="1">
        <v>1252</v>
      </c>
      <c r="I78" s="10">
        <f>Дума_партии[[#This Row],[Число избирателей, внесенных в список избирателей на момент окончания голосования]]</f>
        <v>1252</v>
      </c>
      <c r="J78" s="1">
        <v>1200</v>
      </c>
      <c r="K78" s="1">
        <v>0</v>
      </c>
      <c r="L78" s="1">
        <v>555</v>
      </c>
      <c r="M78" s="1">
        <v>141</v>
      </c>
      <c r="N78" s="3">
        <f t="shared" si="46"/>
        <v>55.591054313099043</v>
      </c>
      <c r="O78" s="3">
        <f t="shared" si="47"/>
        <v>11.261980830670927</v>
      </c>
      <c r="P78" s="1">
        <v>504</v>
      </c>
      <c r="Q78" s="1">
        <v>141</v>
      </c>
      <c r="R78" s="1">
        <v>555</v>
      </c>
      <c r="S78" s="1">
        <f t="shared" si="48"/>
        <v>696</v>
      </c>
      <c r="T78" s="3">
        <f t="shared" si="49"/>
        <v>20.258620689655171</v>
      </c>
      <c r="U78" s="1">
        <v>6</v>
      </c>
      <c r="V78" s="3">
        <f t="shared" si="50"/>
        <v>0.86206896551724133</v>
      </c>
      <c r="W78" s="1">
        <v>690</v>
      </c>
      <c r="X78" s="1">
        <v>0</v>
      </c>
      <c r="Y78" s="1">
        <v>0</v>
      </c>
      <c r="Z78" s="1">
        <v>125</v>
      </c>
      <c r="AA78" s="3">
        <f t="shared" si="51"/>
        <v>17.959770114942529</v>
      </c>
      <c r="AB78" s="1">
        <v>2</v>
      </c>
      <c r="AC78" s="3">
        <f t="shared" si="52"/>
        <v>0.28735632183908044</v>
      </c>
      <c r="AD78" s="1">
        <v>55</v>
      </c>
      <c r="AE78" s="3">
        <f t="shared" si="53"/>
        <v>7.9022988505747129</v>
      </c>
      <c r="AF78" s="1">
        <v>39</v>
      </c>
      <c r="AG78" s="3">
        <f t="shared" si="54"/>
        <v>5.6034482758620694</v>
      </c>
      <c r="AH78" s="1">
        <v>387</v>
      </c>
      <c r="AI78" s="3">
        <f t="shared" si="55"/>
        <v>55.603448275862071</v>
      </c>
      <c r="AJ78" s="1">
        <v>40</v>
      </c>
      <c r="AK78" s="3">
        <f t="shared" si="56"/>
        <v>5.7471264367816088</v>
      </c>
      <c r="AL78" s="1">
        <v>6</v>
      </c>
      <c r="AM78" s="3">
        <f t="shared" si="57"/>
        <v>0.86206896551724133</v>
      </c>
      <c r="AN78" s="1">
        <v>0</v>
      </c>
      <c r="AO78" s="3">
        <f t="shared" si="58"/>
        <v>0</v>
      </c>
      <c r="AP78" s="1">
        <v>3</v>
      </c>
      <c r="AQ78" s="3">
        <f t="shared" si="59"/>
        <v>0.43103448275862066</v>
      </c>
      <c r="AR78" s="1">
        <v>7</v>
      </c>
      <c r="AS78" s="3">
        <f t="shared" si="60"/>
        <v>1.0057471264367817</v>
      </c>
      <c r="AT78" s="1">
        <v>0</v>
      </c>
      <c r="AU78" s="3">
        <f t="shared" si="61"/>
        <v>0</v>
      </c>
      <c r="AV78" s="1">
        <v>3</v>
      </c>
      <c r="AW78" s="3">
        <f t="shared" si="62"/>
        <v>0.43103448275862066</v>
      </c>
      <c r="AX78" s="1">
        <v>5</v>
      </c>
      <c r="AY78" s="3">
        <f t="shared" si="63"/>
        <v>0.7183908045977011</v>
      </c>
      <c r="AZ78" s="1">
        <v>18</v>
      </c>
      <c r="BA78" s="3">
        <f t="shared" si="64"/>
        <v>2.5862068965517242</v>
      </c>
      <c r="BB78" t="s">
        <v>209</v>
      </c>
      <c r="BD78"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230.90909090909088</v>
      </c>
      <c r="BE78" s="13">
        <f>2*(Дума_партии[[#This Row],[5. Всероссийская политическая партия "ЕДИНАЯ РОССИЯ"]]-(AB$124/100)*Дума_партии[[#This Row],[Число действительных избирательных бюллетеней]])</f>
        <v>304.79999999999995</v>
      </c>
      <c r="BF78" s="13">
        <f>(Дума_партии[[#This Row],[Вброс]]+Дума_партии[[#This Row],[Перекладывание]])/2</f>
        <v>267.85454545454542</v>
      </c>
      <c r="BG78" s="13">
        <v>0</v>
      </c>
    </row>
    <row r="79" spans="1:59" x14ac:dyDescent="0.4">
      <c r="A79" s="1" t="s">
        <v>49</v>
      </c>
      <c r="B79" s="1" t="s">
        <v>50</v>
      </c>
      <c r="C79" s="1" t="s">
        <v>51</v>
      </c>
      <c r="D79" s="1" t="s">
        <v>102</v>
      </c>
      <c r="E79" s="1" t="s">
        <v>180</v>
      </c>
      <c r="F79" s="10">
        <f t="shared" ca="1" si="45"/>
        <v>1819</v>
      </c>
      <c r="G79" t="s">
        <v>242</v>
      </c>
      <c r="H79" s="1">
        <v>1174</v>
      </c>
      <c r="I79" s="10">
        <f>Дума_партии[[#This Row],[Число избирателей, внесенных в список избирателей на момент окончания голосования]]</f>
        <v>1174</v>
      </c>
      <c r="J79" s="1">
        <v>1200</v>
      </c>
      <c r="K79" s="1">
        <v>0</v>
      </c>
      <c r="L79" s="1">
        <v>626</v>
      </c>
      <c r="M79" s="1">
        <v>25</v>
      </c>
      <c r="N79" s="3">
        <f t="shared" si="46"/>
        <v>55.451448040885857</v>
      </c>
      <c r="O79" s="3">
        <f t="shared" si="47"/>
        <v>2.1294718909710393</v>
      </c>
      <c r="P79" s="1">
        <v>549</v>
      </c>
      <c r="Q79" s="1">
        <v>25</v>
      </c>
      <c r="R79" s="1">
        <v>626</v>
      </c>
      <c r="S79" s="1">
        <f t="shared" si="48"/>
        <v>651</v>
      </c>
      <c r="T79" s="3">
        <f t="shared" si="49"/>
        <v>3.8402457757296466</v>
      </c>
      <c r="U79" s="1">
        <v>41</v>
      </c>
      <c r="V79" s="3">
        <f t="shared" si="50"/>
        <v>6.2980030721966207</v>
      </c>
      <c r="W79" s="1">
        <v>610</v>
      </c>
      <c r="X79" s="1">
        <v>0</v>
      </c>
      <c r="Y79" s="1">
        <v>0</v>
      </c>
      <c r="Z79" s="1">
        <v>126</v>
      </c>
      <c r="AA79" s="3">
        <f t="shared" si="51"/>
        <v>19.35483870967742</v>
      </c>
      <c r="AB79" s="1">
        <v>6</v>
      </c>
      <c r="AC79" s="3">
        <f t="shared" si="52"/>
        <v>0.92165898617511521</v>
      </c>
      <c r="AD79" s="1">
        <v>51</v>
      </c>
      <c r="AE79" s="3">
        <f t="shared" si="53"/>
        <v>7.8341013824884795</v>
      </c>
      <c r="AF79" s="1">
        <v>14</v>
      </c>
      <c r="AG79" s="3">
        <f t="shared" si="54"/>
        <v>2.150537634408602</v>
      </c>
      <c r="AH79" s="1">
        <v>324</v>
      </c>
      <c r="AI79" s="3">
        <f t="shared" si="55"/>
        <v>49.769585253456221</v>
      </c>
      <c r="AJ79" s="1">
        <v>32</v>
      </c>
      <c r="AK79" s="3">
        <f t="shared" si="56"/>
        <v>4.9155145929339481</v>
      </c>
      <c r="AL79" s="1">
        <v>7</v>
      </c>
      <c r="AM79" s="3">
        <f t="shared" si="57"/>
        <v>1.075268817204301</v>
      </c>
      <c r="AN79" s="1">
        <v>0</v>
      </c>
      <c r="AO79" s="3">
        <f t="shared" si="58"/>
        <v>0</v>
      </c>
      <c r="AP79" s="1">
        <v>8</v>
      </c>
      <c r="AQ79" s="3">
        <f t="shared" si="59"/>
        <v>1.228878648233487</v>
      </c>
      <c r="AR79" s="1">
        <v>11</v>
      </c>
      <c r="AS79" s="3">
        <f t="shared" si="60"/>
        <v>1.6897081413210446</v>
      </c>
      <c r="AT79" s="1">
        <v>0</v>
      </c>
      <c r="AU79" s="3">
        <f t="shared" si="61"/>
        <v>0</v>
      </c>
      <c r="AV79" s="1">
        <v>8</v>
      </c>
      <c r="AW79" s="3">
        <f t="shared" si="62"/>
        <v>1.228878648233487</v>
      </c>
      <c r="AX79" s="1">
        <v>7</v>
      </c>
      <c r="AY79" s="3">
        <f t="shared" si="63"/>
        <v>1.075268817204301</v>
      </c>
      <c r="AZ79" s="1">
        <v>16</v>
      </c>
      <c r="BA79" s="3">
        <f t="shared" si="64"/>
        <v>2.4577572964669741</v>
      </c>
      <c r="BB79" t="s">
        <v>209</v>
      </c>
      <c r="BD79"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176.66666666666663</v>
      </c>
      <c r="BE79" s="13">
        <f>2*(Дума_партии[[#This Row],[5. Всероссийская политическая партия "ЕДИНАЯ РОССИЯ"]]-(AB$124/100)*Дума_партии[[#This Row],[Число действительных избирательных бюллетеней]])</f>
        <v>233.2</v>
      </c>
      <c r="BF79" s="13">
        <f>(Дума_партии[[#This Row],[Вброс]]+Дума_партии[[#This Row],[Перекладывание]])/2</f>
        <v>204.93333333333331</v>
      </c>
      <c r="BG79" s="13">
        <v>0</v>
      </c>
    </row>
    <row r="80" spans="1:59" x14ac:dyDescent="0.4">
      <c r="A80" s="1" t="s">
        <v>49</v>
      </c>
      <c r="B80" s="1" t="s">
        <v>50</v>
      </c>
      <c r="C80" s="1" t="s">
        <v>51</v>
      </c>
      <c r="D80" s="1" t="s">
        <v>102</v>
      </c>
      <c r="E80" s="1" t="s">
        <v>181</v>
      </c>
      <c r="F80" s="10">
        <f t="shared" ca="1" si="45"/>
        <v>1820</v>
      </c>
      <c r="G80" t="s">
        <v>243</v>
      </c>
      <c r="H80" s="1">
        <v>1129</v>
      </c>
      <c r="I80" s="10">
        <f>Дума_партии[[#This Row],[Число избирателей, внесенных в список избирателей на момент окончания голосования]]</f>
        <v>1129</v>
      </c>
      <c r="J80" s="1">
        <v>1100</v>
      </c>
      <c r="K80" s="1">
        <v>0</v>
      </c>
      <c r="L80" s="1">
        <v>454</v>
      </c>
      <c r="M80" s="1">
        <v>204</v>
      </c>
      <c r="N80" s="3">
        <f t="shared" si="46"/>
        <v>58.281665190434012</v>
      </c>
      <c r="O80" s="3">
        <f t="shared" si="47"/>
        <v>18.069087688219664</v>
      </c>
      <c r="P80" s="1">
        <v>442</v>
      </c>
      <c r="Q80" s="1">
        <v>204</v>
      </c>
      <c r="R80" s="1">
        <v>454</v>
      </c>
      <c r="S80" s="1">
        <f t="shared" si="48"/>
        <v>658</v>
      </c>
      <c r="T80" s="3">
        <f t="shared" si="49"/>
        <v>31.003039513677813</v>
      </c>
      <c r="U80" s="1">
        <v>16</v>
      </c>
      <c r="V80" s="3">
        <f t="shared" si="50"/>
        <v>2.43161094224924</v>
      </c>
      <c r="W80" s="1">
        <v>642</v>
      </c>
      <c r="X80" s="1">
        <v>0</v>
      </c>
      <c r="Y80" s="1">
        <v>0</v>
      </c>
      <c r="Z80" s="1">
        <v>125</v>
      </c>
      <c r="AA80" s="3">
        <f t="shared" si="51"/>
        <v>18.996960486322187</v>
      </c>
      <c r="AB80" s="1">
        <v>5</v>
      </c>
      <c r="AC80" s="3">
        <f t="shared" si="52"/>
        <v>0.75987841945288759</v>
      </c>
      <c r="AD80" s="1">
        <v>54</v>
      </c>
      <c r="AE80" s="3">
        <f t="shared" si="53"/>
        <v>8.2066869300911858</v>
      </c>
      <c r="AF80" s="1">
        <v>25</v>
      </c>
      <c r="AG80" s="3">
        <f t="shared" si="54"/>
        <v>3.7993920972644375</v>
      </c>
      <c r="AH80" s="1">
        <v>347</v>
      </c>
      <c r="AI80" s="3">
        <f t="shared" si="55"/>
        <v>52.735562310030396</v>
      </c>
      <c r="AJ80" s="1">
        <v>28</v>
      </c>
      <c r="AK80" s="3">
        <f t="shared" si="56"/>
        <v>4.2553191489361701</v>
      </c>
      <c r="AL80" s="1">
        <v>9</v>
      </c>
      <c r="AM80" s="3">
        <f t="shared" si="57"/>
        <v>1.3677811550151975</v>
      </c>
      <c r="AN80" s="1">
        <v>2</v>
      </c>
      <c r="AO80" s="3">
        <f t="shared" si="58"/>
        <v>0.303951367781155</v>
      </c>
      <c r="AP80" s="1">
        <v>2</v>
      </c>
      <c r="AQ80" s="3">
        <f t="shared" si="59"/>
        <v>0.303951367781155</v>
      </c>
      <c r="AR80" s="1">
        <v>10</v>
      </c>
      <c r="AS80" s="3">
        <f t="shared" si="60"/>
        <v>1.5197568389057752</v>
      </c>
      <c r="AT80" s="1">
        <v>0</v>
      </c>
      <c r="AU80" s="3">
        <f t="shared" si="61"/>
        <v>0</v>
      </c>
      <c r="AV80" s="1">
        <v>3</v>
      </c>
      <c r="AW80" s="3">
        <f t="shared" si="62"/>
        <v>0.45592705167173253</v>
      </c>
      <c r="AX80" s="1">
        <v>5</v>
      </c>
      <c r="AY80" s="3">
        <f t="shared" si="63"/>
        <v>0.75987841945288759</v>
      </c>
      <c r="AZ80" s="1">
        <v>27</v>
      </c>
      <c r="BA80" s="3">
        <f t="shared" si="64"/>
        <v>4.1033434650455929</v>
      </c>
      <c r="BB80" t="s">
        <v>209</v>
      </c>
      <c r="BD80"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195.030303030303</v>
      </c>
      <c r="BE80" s="13">
        <f>2*(Дума_партии[[#This Row],[5. Всероссийская политическая партия "ЕДИНАЯ РОССИЯ"]]-(AB$124/100)*Дума_партии[[#This Row],[Число действительных избирательных бюллетеней]])</f>
        <v>257.43999999999994</v>
      </c>
      <c r="BF80" s="13">
        <f>(Дума_партии[[#This Row],[Вброс]]+Дума_партии[[#This Row],[Перекладывание]])/2</f>
        <v>226.23515151515147</v>
      </c>
      <c r="BG80" s="13">
        <v>0</v>
      </c>
    </row>
    <row r="81" spans="1:59" x14ac:dyDescent="0.4">
      <c r="A81" s="1" t="s">
        <v>49</v>
      </c>
      <c r="B81" s="1" t="s">
        <v>50</v>
      </c>
      <c r="C81" s="1" t="s">
        <v>51</v>
      </c>
      <c r="D81" s="1" t="s">
        <v>102</v>
      </c>
      <c r="E81" s="1" t="s">
        <v>182</v>
      </c>
      <c r="F81" s="10">
        <f t="shared" ca="1" si="45"/>
        <v>1821</v>
      </c>
      <c r="G81" t="s">
        <v>244</v>
      </c>
      <c r="H81" s="1">
        <v>466</v>
      </c>
      <c r="I81" s="10">
        <f>Дума_партии[[#This Row],[Число избирателей, внесенных в список избирателей на момент окончания голосования]]</f>
        <v>466</v>
      </c>
      <c r="J81" s="1">
        <v>500</v>
      </c>
      <c r="K81" s="1">
        <v>0</v>
      </c>
      <c r="L81" s="1">
        <v>177</v>
      </c>
      <c r="M81" s="1">
        <v>165</v>
      </c>
      <c r="N81" s="3">
        <f t="shared" si="46"/>
        <v>73.39055793991416</v>
      </c>
      <c r="O81" s="3">
        <f t="shared" si="47"/>
        <v>35.407725321888414</v>
      </c>
      <c r="P81" s="1">
        <v>158</v>
      </c>
      <c r="Q81" s="1">
        <v>165</v>
      </c>
      <c r="R81" s="1">
        <v>177</v>
      </c>
      <c r="S81" s="1">
        <f t="shared" si="48"/>
        <v>342</v>
      </c>
      <c r="T81" s="3">
        <f t="shared" si="49"/>
        <v>48.245614035087719</v>
      </c>
      <c r="U81" s="1">
        <v>16</v>
      </c>
      <c r="V81" s="3">
        <f t="shared" si="50"/>
        <v>4.6783625730994149</v>
      </c>
      <c r="W81" s="1">
        <v>326</v>
      </c>
      <c r="X81" s="1">
        <v>0</v>
      </c>
      <c r="Y81" s="1">
        <v>0</v>
      </c>
      <c r="Z81" s="1">
        <v>49</v>
      </c>
      <c r="AA81" s="3">
        <f t="shared" si="51"/>
        <v>14.327485380116959</v>
      </c>
      <c r="AB81" s="1">
        <v>1</v>
      </c>
      <c r="AC81" s="3">
        <f t="shared" si="52"/>
        <v>0.29239766081871343</v>
      </c>
      <c r="AD81" s="1">
        <v>28</v>
      </c>
      <c r="AE81" s="3">
        <f t="shared" si="53"/>
        <v>8.1871345029239766</v>
      </c>
      <c r="AF81" s="1">
        <v>9</v>
      </c>
      <c r="AG81" s="3">
        <f t="shared" si="54"/>
        <v>2.6315789473684212</v>
      </c>
      <c r="AH81" s="1">
        <v>197</v>
      </c>
      <c r="AI81" s="3">
        <f t="shared" si="55"/>
        <v>57.602339181286553</v>
      </c>
      <c r="AJ81" s="1">
        <v>23</v>
      </c>
      <c r="AK81" s="3">
        <f t="shared" si="56"/>
        <v>6.7251461988304095</v>
      </c>
      <c r="AL81" s="1">
        <v>0</v>
      </c>
      <c r="AM81" s="3">
        <f t="shared" si="57"/>
        <v>0</v>
      </c>
      <c r="AN81" s="1">
        <v>0</v>
      </c>
      <c r="AO81" s="3">
        <f t="shared" si="58"/>
        <v>0</v>
      </c>
      <c r="AP81" s="1">
        <v>3</v>
      </c>
      <c r="AQ81" s="3">
        <f t="shared" si="59"/>
        <v>0.8771929824561403</v>
      </c>
      <c r="AR81" s="1">
        <v>10</v>
      </c>
      <c r="AS81" s="3">
        <f t="shared" si="60"/>
        <v>2.9239766081871346</v>
      </c>
      <c r="AT81" s="1">
        <v>0</v>
      </c>
      <c r="AU81" s="3">
        <f t="shared" si="61"/>
        <v>0</v>
      </c>
      <c r="AV81" s="1">
        <v>0</v>
      </c>
      <c r="AW81" s="3">
        <f t="shared" si="62"/>
        <v>0</v>
      </c>
      <c r="AX81" s="1">
        <v>1</v>
      </c>
      <c r="AY81" s="3">
        <f t="shared" si="63"/>
        <v>0.29239766081871343</v>
      </c>
      <c r="AZ81" s="1">
        <v>5</v>
      </c>
      <c r="BA81" s="3">
        <f t="shared" si="64"/>
        <v>1.4619883040935673</v>
      </c>
      <c r="BB81" t="s">
        <v>209</v>
      </c>
      <c r="BD81"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130.54545454545453</v>
      </c>
      <c r="BE81" s="13">
        <f>2*(Дума_партии[[#This Row],[5. Всероссийская политическая партия "ЕДИНАЯ РОССИЯ"]]-(AB$124/100)*Дума_партии[[#This Row],[Число действительных избирательных бюллетеней]])</f>
        <v>172.32</v>
      </c>
      <c r="BF81" s="13">
        <f>(Дума_партии[[#This Row],[Вброс]]+Дума_партии[[#This Row],[Перекладывание]])/2</f>
        <v>151.43272727272728</v>
      </c>
      <c r="BG81" s="13">
        <v>0</v>
      </c>
    </row>
    <row r="82" spans="1:59" x14ac:dyDescent="0.4">
      <c r="A82" s="1" t="s">
        <v>49</v>
      </c>
      <c r="B82" s="1" t="s">
        <v>50</v>
      </c>
      <c r="C82" s="1" t="s">
        <v>51</v>
      </c>
      <c r="D82" s="1" t="s">
        <v>102</v>
      </c>
      <c r="E82" s="1" t="s">
        <v>183</v>
      </c>
      <c r="F82" s="10">
        <f t="shared" ca="1" si="45"/>
        <v>1822</v>
      </c>
      <c r="G82" t="s">
        <v>245</v>
      </c>
      <c r="H82" s="1">
        <v>749</v>
      </c>
      <c r="I82" s="10">
        <f>Дума_партии[[#This Row],[Число избирателей, внесенных в список избирателей на момент окончания голосования]]</f>
        <v>749</v>
      </c>
      <c r="J82" s="1">
        <v>700</v>
      </c>
      <c r="K82" s="1">
        <v>0</v>
      </c>
      <c r="L82" s="1">
        <v>348</v>
      </c>
      <c r="M82" s="1">
        <v>59</v>
      </c>
      <c r="N82" s="3">
        <f t="shared" si="46"/>
        <v>54.339118825100137</v>
      </c>
      <c r="O82" s="3">
        <f t="shared" si="47"/>
        <v>7.8771695594125504</v>
      </c>
      <c r="P82" s="1">
        <v>293</v>
      </c>
      <c r="Q82" s="1">
        <v>59</v>
      </c>
      <c r="R82" s="1">
        <v>346</v>
      </c>
      <c r="S82" s="1">
        <f t="shared" si="48"/>
        <v>405</v>
      </c>
      <c r="T82" s="3">
        <f t="shared" si="49"/>
        <v>14.567901234567902</v>
      </c>
      <c r="U82" s="1">
        <v>30</v>
      </c>
      <c r="V82" s="3">
        <f t="shared" si="50"/>
        <v>7.4074074074074074</v>
      </c>
      <c r="W82" s="1">
        <v>375</v>
      </c>
      <c r="X82" s="1">
        <v>0</v>
      </c>
      <c r="Y82" s="1">
        <v>0</v>
      </c>
      <c r="Z82" s="1">
        <v>120</v>
      </c>
      <c r="AA82" s="3">
        <f t="shared" si="51"/>
        <v>29.62962962962963</v>
      </c>
      <c r="AB82" s="1">
        <v>1</v>
      </c>
      <c r="AC82" s="3">
        <f t="shared" si="52"/>
        <v>0.24691358024691357</v>
      </c>
      <c r="AD82" s="1">
        <v>47</v>
      </c>
      <c r="AE82" s="3">
        <f t="shared" si="53"/>
        <v>11.604938271604938</v>
      </c>
      <c r="AF82" s="1">
        <v>16</v>
      </c>
      <c r="AG82" s="3">
        <f t="shared" si="54"/>
        <v>3.9506172839506171</v>
      </c>
      <c r="AH82" s="1">
        <v>131</v>
      </c>
      <c r="AI82" s="3">
        <f t="shared" si="55"/>
        <v>32.345679012345677</v>
      </c>
      <c r="AJ82" s="1">
        <v>22</v>
      </c>
      <c r="AK82" s="3">
        <f t="shared" si="56"/>
        <v>5.4320987654320989</v>
      </c>
      <c r="AL82" s="1">
        <v>7</v>
      </c>
      <c r="AM82" s="3">
        <f t="shared" si="57"/>
        <v>1.728395061728395</v>
      </c>
      <c r="AN82" s="1">
        <v>0</v>
      </c>
      <c r="AO82" s="3">
        <f t="shared" si="58"/>
        <v>0</v>
      </c>
      <c r="AP82" s="1">
        <v>4</v>
      </c>
      <c r="AQ82" s="3">
        <f t="shared" si="59"/>
        <v>0.98765432098765427</v>
      </c>
      <c r="AR82" s="1">
        <v>8</v>
      </c>
      <c r="AS82" s="3">
        <f t="shared" si="60"/>
        <v>1.9753086419753085</v>
      </c>
      <c r="AT82" s="1">
        <v>0</v>
      </c>
      <c r="AU82" s="3">
        <f t="shared" si="61"/>
        <v>0</v>
      </c>
      <c r="AV82" s="1">
        <v>3</v>
      </c>
      <c r="AW82" s="3">
        <f t="shared" si="62"/>
        <v>0.7407407407407407</v>
      </c>
      <c r="AX82" s="1">
        <v>1</v>
      </c>
      <c r="AY82" s="3">
        <f t="shared" si="63"/>
        <v>0.24691358024691357</v>
      </c>
      <c r="AZ82" s="1">
        <v>15</v>
      </c>
      <c r="BA82" s="3">
        <f t="shared" si="64"/>
        <v>3.7037037037037037</v>
      </c>
      <c r="BB82" t="s">
        <v>209</v>
      </c>
      <c r="BD82"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5.3030303030302832</v>
      </c>
      <c r="BE82" s="13">
        <f>2*(Дума_партии[[#This Row],[5. Всероссийская политическая партия "ЕДИНАЯ РОССИЯ"]]-(AB$124/100)*Дума_партии[[#This Row],[Число действительных избирательных бюллетеней]])</f>
        <v>6.9999999999999716</v>
      </c>
      <c r="BF82" s="13">
        <f>(Дума_партии[[#This Row],[Вброс]]+Дума_партии[[#This Row],[Перекладывание]])/2</f>
        <v>6.1515151515151274</v>
      </c>
      <c r="BG82" s="13">
        <v>0</v>
      </c>
    </row>
    <row r="83" spans="1:59" x14ac:dyDescent="0.4">
      <c r="A83" s="1" t="s">
        <v>49</v>
      </c>
      <c r="B83" s="1" t="s">
        <v>50</v>
      </c>
      <c r="C83" s="1" t="s">
        <v>51</v>
      </c>
      <c r="D83" s="1" t="s">
        <v>102</v>
      </c>
      <c r="E83" s="1" t="s">
        <v>184</v>
      </c>
      <c r="F83" s="10">
        <f t="shared" ca="1" si="45"/>
        <v>1823</v>
      </c>
      <c r="G83" t="s">
        <v>246</v>
      </c>
      <c r="H83" s="1">
        <v>665</v>
      </c>
      <c r="I83" s="10">
        <f>Дума_партии[[#This Row],[Число избирателей, внесенных в список избирателей на момент окончания голосования]]</f>
        <v>665</v>
      </c>
      <c r="J83" s="1">
        <v>600</v>
      </c>
      <c r="K83" s="1">
        <v>0</v>
      </c>
      <c r="L83" s="1">
        <v>276</v>
      </c>
      <c r="M83" s="1">
        <v>56</v>
      </c>
      <c r="N83" s="3">
        <f t="shared" si="46"/>
        <v>49.924812030075188</v>
      </c>
      <c r="O83" s="3">
        <f t="shared" si="47"/>
        <v>8.4210526315789469</v>
      </c>
      <c r="P83" s="1">
        <v>268</v>
      </c>
      <c r="Q83" s="1">
        <v>56</v>
      </c>
      <c r="R83" s="1">
        <v>276</v>
      </c>
      <c r="S83" s="1">
        <f t="shared" si="48"/>
        <v>332</v>
      </c>
      <c r="T83" s="3">
        <f t="shared" si="49"/>
        <v>16.867469879518072</v>
      </c>
      <c r="U83" s="1">
        <v>21</v>
      </c>
      <c r="V83" s="3">
        <f t="shared" si="50"/>
        <v>6.3253012048192767</v>
      </c>
      <c r="W83" s="1">
        <v>311</v>
      </c>
      <c r="X83" s="1">
        <v>0</v>
      </c>
      <c r="Y83" s="1">
        <v>0</v>
      </c>
      <c r="Z83" s="1">
        <v>36</v>
      </c>
      <c r="AA83" s="3">
        <f t="shared" si="51"/>
        <v>10.843373493975903</v>
      </c>
      <c r="AB83" s="1">
        <v>2</v>
      </c>
      <c r="AC83" s="3">
        <f t="shared" si="52"/>
        <v>0.60240963855421692</v>
      </c>
      <c r="AD83" s="1">
        <v>31</v>
      </c>
      <c r="AE83" s="3">
        <f t="shared" si="53"/>
        <v>9.3373493975903621</v>
      </c>
      <c r="AF83" s="1">
        <v>17</v>
      </c>
      <c r="AG83" s="3">
        <f t="shared" si="54"/>
        <v>5.1204819277108431</v>
      </c>
      <c r="AH83" s="1">
        <v>180</v>
      </c>
      <c r="AI83" s="3">
        <f t="shared" si="55"/>
        <v>54.216867469879517</v>
      </c>
      <c r="AJ83" s="1">
        <v>16</v>
      </c>
      <c r="AK83" s="3">
        <f t="shared" si="56"/>
        <v>4.8192771084337354</v>
      </c>
      <c r="AL83" s="1">
        <v>1</v>
      </c>
      <c r="AM83" s="3">
        <f t="shared" si="57"/>
        <v>0.30120481927710846</v>
      </c>
      <c r="AN83" s="1">
        <v>1</v>
      </c>
      <c r="AO83" s="3">
        <f t="shared" si="58"/>
        <v>0.30120481927710846</v>
      </c>
      <c r="AP83" s="1">
        <v>0</v>
      </c>
      <c r="AQ83" s="3">
        <f t="shared" si="59"/>
        <v>0</v>
      </c>
      <c r="AR83" s="1">
        <v>11</v>
      </c>
      <c r="AS83" s="3">
        <f t="shared" si="60"/>
        <v>3.3132530120481927</v>
      </c>
      <c r="AT83" s="1">
        <v>1</v>
      </c>
      <c r="AU83" s="3">
        <f t="shared" si="61"/>
        <v>0.30120481927710846</v>
      </c>
      <c r="AV83" s="1">
        <v>3</v>
      </c>
      <c r="AW83" s="3">
        <f t="shared" si="62"/>
        <v>0.90361445783132532</v>
      </c>
      <c r="AX83" s="1">
        <v>1</v>
      </c>
      <c r="AY83" s="3">
        <f t="shared" si="63"/>
        <v>0.30120481927710846</v>
      </c>
      <c r="AZ83" s="1">
        <v>11</v>
      </c>
      <c r="BA83" s="3">
        <f t="shared" si="64"/>
        <v>3.3132530120481927</v>
      </c>
      <c r="BB83" t="s">
        <v>209</v>
      </c>
      <c r="BD83"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112.5151515151515</v>
      </c>
      <c r="BE83" s="13">
        <f>2*(Дума_партии[[#This Row],[5. Всероссийская политическая партия "ЕДИНАЯ РОССИЯ"]]-(AB$124/100)*Дума_партии[[#This Row],[Число действительных избирательных бюллетеней]])</f>
        <v>148.51999999999998</v>
      </c>
      <c r="BF83" s="13">
        <f>(Дума_партии[[#This Row],[Вброс]]+Дума_партии[[#This Row],[Перекладывание]])/2</f>
        <v>130.51757575757574</v>
      </c>
      <c r="BG83" s="13">
        <v>0</v>
      </c>
    </row>
    <row r="84" spans="1:59" x14ac:dyDescent="0.4">
      <c r="A84" s="1" t="s">
        <v>49</v>
      </c>
      <c r="B84" s="1" t="s">
        <v>50</v>
      </c>
      <c r="C84" s="1" t="s">
        <v>51</v>
      </c>
      <c r="D84" s="1" t="s">
        <v>102</v>
      </c>
      <c r="E84" s="1" t="s">
        <v>185</v>
      </c>
      <c r="F84" s="10">
        <f t="shared" ca="1" si="45"/>
        <v>1824</v>
      </c>
      <c r="G84" t="s">
        <v>247</v>
      </c>
      <c r="H84" s="1">
        <v>1092</v>
      </c>
      <c r="I84" s="10">
        <f>Дума_партии[[#This Row],[Число избирателей, внесенных в список избирателей на момент окончания голосования]]</f>
        <v>1092</v>
      </c>
      <c r="J84" s="1">
        <v>1100</v>
      </c>
      <c r="K84" s="1">
        <v>0</v>
      </c>
      <c r="L84" s="1">
        <v>442</v>
      </c>
      <c r="M84" s="1">
        <v>72</v>
      </c>
      <c r="N84" s="3">
        <f t="shared" si="46"/>
        <v>47.069597069597073</v>
      </c>
      <c r="O84" s="3">
        <f t="shared" si="47"/>
        <v>6.5934065934065931</v>
      </c>
      <c r="P84" s="1">
        <v>586</v>
      </c>
      <c r="Q84" s="1">
        <v>72</v>
      </c>
      <c r="R84" s="1">
        <v>442</v>
      </c>
      <c r="S84" s="1">
        <f t="shared" si="48"/>
        <v>514</v>
      </c>
      <c r="T84" s="3">
        <f t="shared" si="49"/>
        <v>14.007782101167315</v>
      </c>
      <c r="U84" s="1">
        <v>13</v>
      </c>
      <c r="V84" s="3">
        <f t="shared" si="50"/>
        <v>2.5291828793774318</v>
      </c>
      <c r="W84" s="1">
        <v>501</v>
      </c>
      <c r="X84" s="1">
        <v>0</v>
      </c>
      <c r="Y84" s="1">
        <v>0</v>
      </c>
      <c r="Z84" s="1">
        <v>50</v>
      </c>
      <c r="AA84" s="3">
        <f t="shared" si="51"/>
        <v>9.7276264591439681</v>
      </c>
      <c r="AB84" s="1">
        <v>1</v>
      </c>
      <c r="AC84" s="3">
        <f t="shared" si="52"/>
        <v>0.19455252918287938</v>
      </c>
      <c r="AD84" s="1">
        <v>10</v>
      </c>
      <c r="AE84" s="3">
        <f t="shared" si="53"/>
        <v>1.9455252918287937</v>
      </c>
      <c r="AF84" s="1">
        <v>8</v>
      </c>
      <c r="AG84" s="3">
        <f t="shared" si="54"/>
        <v>1.556420233463035</v>
      </c>
      <c r="AH84" s="1">
        <v>406</v>
      </c>
      <c r="AI84" s="3">
        <f t="shared" si="55"/>
        <v>78.988326848249031</v>
      </c>
      <c r="AJ84" s="1">
        <v>6</v>
      </c>
      <c r="AK84" s="3">
        <f t="shared" si="56"/>
        <v>1.1673151750972763</v>
      </c>
      <c r="AL84" s="1">
        <v>2</v>
      </c>
      <c r="AM84" s="3">
        <f t="shared" si="57"/>
        <v>0.38910505836575876</v>
      </c>
      <c r="AN84" s="1">
        <v>0</v>
      </c>
      <c r="AO84" s="3">
        <f t="shared" si="58"/>
        <v>0</v>
      </c>
      <c r="AP84" s="1">
        <v>2</v>
      </c>
      <c r="AQ84" s="3">
        <f t="shared" si="59"/>
        <v>0.38910505836575876</v>
      </c>
      <c r="AR84" s="1">
        <v>12</v>
      </c>
      <c r="AS84" s="3">
        <f t="shared" si="60"/>
        <v>2.3346303501945527</v>
      </c>
      <c r="AT84" s="1">
        <v>0</v>
      </c>
      <c r="AU84" s="3">
        <f t="shared" si="61"/>
        <v>0</v>
      </c>
      <c r="AV84" s="1">
        <v>0</v>
      </c>
      <c r="AW84" s="3">
        <f t="shared" si="62"/>
        <v>0</v>
      </c>
      <c r="AX84" s="1">
        <v>0</v>
      </c>
      <c r="AY84" s="3">
        <f t="shared" si="63"/>
        <v>0</v>
      </c>
      <c r="AZ84" s="1">
        <v>4</v>
      </c>
      <c r="BA84" s="3">
        <f t="shared" si="64"/>
        <v>0.77821011673151752</v>
      </c>
      <c r="BB84" t="s">
        <v>209</v>
      </c>
      <c r="BD84"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357.06060606060606</v>
      </c>
      <c r="BE84" s="13">
        <f>2*(Дума_партии[[#This Row],[5. Всероссийская политическая партия "ЕДИНАЯ РОССИЯ"]]-(AB$124/100)*Дума_партии[[#This Row],[Число действительных избирательных бюллетеней]])</f>
        <v>471.32</v>
      </c>
      <c r="BF84" s="13">
        <f>(Дума_партии[[#This Row],[Вброс]]+Дума_партии[[#This Row],[Перекладывание]])/2</f>
        <v>414.19030303030303</v>
      </c>
      <c r="BG84" s="13">
        <v>0</v>
      </c>
    </row>
    <row r="85" spans="1:59" x14ac:dyDescent="0.4">
      <c r="A85" s="1" t="s">
        <v>49</v>
      </c>
      <c r="B85" s="1" t="s">
        <v>50</v>
      </c>
      <c r="C85" s="1" t="s">
        <v>51</v>
      </c>
      <c r="D85" s="1" t="s">
        <v>102</v>
      </c>
      <c r="E85" s="1" t="s">
        <v>186</v>
      </c>
      <c r="F85" s="10">
        <f t="shared" ca="1" si="45"/>
        <v>1825</v>
      </c>
      <c r="G85" t="s">
        <v>248</v>
      </c>
      <c r="H85" s="1">
        <v>2085</v>
      </c>
      <c r="I85" s="10">
        <f>Дума_партии[[#This Row],[Число избирателей, внесенных в список избирателей на момент окончания голосования]]</f>
        <v>2085</v>
      </c>
      <c r="J85" s="1">
        <v>2000</v>
      </c>
      <c r="K85" s="1">
        <v>0</v>
      </c>
      <c r="L85" s="1">
        <v>596</v>
      </c>
      <c r="M85" s="1">
        <v>97</v>
      </c>
      <c r="N85" s="3">
        <f t="shared" si="46"/>
        <v>33.237410071942449</v>
      </c>
      <c r="O85" s="3">
        <f t="shared" si="47"/>
        <v>4.652278177458034</v>
      </c>
      <c r="P85" s="1">
        <v>1307</v>
      </c>
      <c r="Q85" s="1">
        <v>97</v>
      </c>
      <c r="R85" s="1">
        <v>596</v>
      </c>
      <c r="S85" s="1">
        <f t="shared" si="48"/>
        <v>693</v>
      </c>
      <c r="T85" s="3">
        <f t="shared" si="49"/>
        <v>13.997113997113997</v>
      </c>
      <c r="U85" s="1">
        <v>31</v>
      </c>
      <c r="V85" s="3">
        <f t="shared" si="50"/>
        <v>4.4733044733044736</v>
      </c>
      <c r="W85" s="1">
        <v>662</v>
      </c>
      <c r="X85" s="1">
        <v>0</v>
      </c>
      <c r="Y85" s="1">
        <v>0</v>
      </c>
      <c r="Z85" s="1">
        <v>163</v>
      </c>
      <c r="AA85" s="3">
        <f t="shared" si="51"/>
        <v>23.520923520923521</v>
      </c>
      <c r="AB85" s="1">
        <v>14</v>
      </c>
      <c r="AC85" s="3">
        <f t="shared" si="52"/>
        <v>2.0202020202020203</v>
      </c>
      <c r="AD85" s="1">
        <v>74</v>
      </c>
      <c r="AE85" s="3">
        <f t="shared" si="53"/>
        <v>10.678210678210679</v>
      </c>
      <c r="AF85" s="1">
        <v>35</v>
      </c>
      <c r="AG85" s="3">
        <f t="shared" si="54"/>
        <v>5.0505050505050502</v>
      </c>
      <c r="AH85" s="1">
        <v>232</v>
      </c>
      <c r="AI85" s="3">
        <f t="shared" si="55"/>
        <v>33.477633477633475</v>
      </c>
      <c r="AJ85" s="1">
        <v>50</v>
      </c>
      <c r="AK85" s="3">
        <f t="shared" si="56"/>
        <v>7.2150072150072146</v>
      </c>
      <c r="AL85" s="1">
        <v>16</v>
      </c>
      <c r="AM85" s="3">
        <f t="shared" si="57"/>
        <v>2.3088023088023086</v>
      </c>
      <c r="AN85" s="1">
        <v>5</v>
      </c>
      <c r="AO85" s="3">
        <f t="shared" si="58"/>
        <v>0.72150072150072153</v>
      </c>
      <c r="AP85" s="1">
        <v>5</v>
      </c>
      <c r="AQ85" s="3">
        <f t="shared" si="59"/>
        <v>0.72150072150072153</v>
      </c>
      <c r="AR85" s="1">
        <v>20</v>
      </c>
      <c r="AS85" s="3">
        <f t="shared" si="60"/>
        <v>2.8860028860028861</v>
      </c>
      <c r="AT85" s="1">
        <v>1</v>
      </c>
      <c r="AU85" s="3">
        <f t="shared" si="61"/>
        <v>0.14430014430014429</v>
      </c>
      <c r="AV85" s="1">
        <v>5</v>
      </c>
      <c r="AW85" s="3">
        <f t="shared" si="62"/>
        <v>0.72150072150072153</v>
      </c>
      <c r="AX85" s="1">
        <v>6</v>
      </c>
      <c r="AY85" s="3">
        <f t="shared" si="63"/>
        <v>0.86580086580086579</v>
      </c>
      <c r="AZ85" s="1">
        <v>36</v>
      </c>
      <c r="BA85" s="3">
        <f t="shared" si="64"/>
        <v>5.1948051948051948</v>
      </c>
      <c r="BB85" t="s">
        <v>209</v>
      </c>
      <c r="BD85"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10.484848484848442</v>
      </c>
      <c r="BE85" s="13">
        <f>2*(Дума_партии[[#This Row],[5. Всероссийская политическая партия "ЕДИНАЯ РОССИЯ"]]-(AB$124/100)*Дума_партии[[#This Row],[Число действительных избирательных бюллетеней]])</f>
        <v>13.839999999999975</v>
      </c>
      <c r="BF85" s="13">
        <f>(Дума_партии[[#This Row],[Вброс]]+Дума_партии[[#This Row],[Перекладывание]])/2</f>
        <v>12.162424242424208</v>
      </c>
      <c r="BG85" s="13">
        <v>0</v>
      </c>
    </row>
    <row r="86" spans="1:59" x14ac:dyDescent="0.4">
      <c r="A86" s="1" t="s">
        <v>49</v>
      </c>
      <c r="B86" s="1" t="s">
        <v>50</v>
      </c>
      <c r="C86" s="1" t="s">
        <v>51</v>
      </c>
      <c r="D86" s="1" t="s">
        <v>102</v>
      </c>
      <c r="E86" s="1" t="s">
        <v>187</v>
      </c>
      <c r="F86" s="10">
        <f t="shared" ca="1" si="45"/>
        <v>1826</v>
      </c>
      <c r="G86" t="s">
        <v>249</v>
      </c>
      <c r="H86" s="1">
        <v>1263</v>
      </c>
      <c r="I86" s="10">
        <f>Дума_партии[[#This Row],[Число избирателей, внесенных в список избирателей на момент окончания голосования]]</f>
        <v>1263</v>
      </c>
      <c r="J86" s="1">
        <v>1200</v>
      </c>
      <c r="K86" s="1">
        <v>0</v>
      </c>
      <c r="L86" s="1">
        <v>598</v>
      </c>
      <c r="M86" s="1">
        <v>48</v>
      </c>
      <c r="N86" s="3">
        <f t="shared" si="46"/>
        <v>51.148060174188437</v>
      </c>
      <c r="O86" s="3">
        <f t="shared" si="47"/>
        <v>3.8004750593824226</v>
      </c>
      <c r="P86" s="1">
        <v>554</v>
      </c>
      <c r="Q86" s="1">
        <v>48</v>
      </c>
      <c r="R86" s="1">
        <v>598</v>
      </c>
      <c r="S86" s="1">
        <f t="shared" si="48"/>
        <v>646</v>
      </c>
      <c r="T86" s="3">
        <f t="shared" si="49"/>
        <v>7.4303405572755414</v>
      </c>
      <c r="U86" s="1">
        <v>33</v>
      </c>
      <c r="V86" s="3">
        <f t="shared" si="50"/>
        <v>5.1083591331269353</v>
      </c>
      <c r="W86" s="1">
        <v>613</v>
      </c>
      <c r="X86" s="1">
        <v>0</v>
      </c>
      <c r="Y86" s="1">
        <v>0</v>
      </c>
      <c r="Z86" s="1">
        <v>126</v>
      </c>
      <c r="AA86" s="3">
        <f t="shared" si="51"/>
        <v>19.504643962848299</v>
      </c>
      <c r="AB86" s="1">
        <v>5</v>
      </c>
      <c r="AC86" s="3">
        <f t="shared" si="52"/>
        <v>0.77399380804953566</v>
      </c>
      <c r="AD86" s="1">
        <v>57</v>
      </c>
      <c r="AE86" s="3">
        <f t="shared" si="53"/>
        <v>8.8235294117647065</v>
      </c>
      <c r="AF86" s="1">
        <v>35</v>
      </c>
      <c r="AG86" s="3">
        <f t="shared" si="54"/>
        <v>5.4179566563467496</v>
      </c>
      <c r="AH86" s="1">
        <v>265</v>
      </c>
      <c r="AI86" s="3">
        <f t="shared" si="55"/>
        <v>41.021671826625386</v>
      </c>
      <c r="AJ86" s="1">
        <v>49</v>
      </c>
      <c r="AK86" s="3">
        <f t="shared" si="56"/>
        <v>7.5851393188854486</v>
      </c>
      <c r="AL86" s="1">
        <v>8</v>
      </c>
      <c r="AM86" s="3">
        <f t="shared" si="57"/>
        <v>1.2383900928792571</v>
      </c>
      <c r="AN86" s="1">
        <v>2</v>
      </c>
      <c r="AO86" s="3">
        <f t="shared" si="58"/>
        <v>0.30959752321981426</v>
      </c>
      <c r="AP86" s="1">
        <v>5</v>
      </c>
      <c r="AQ86" s="3">
        <f t="shared" si="59"/>
        <v>0.77399380804953566</v>
      </c>
      <c r="AR86" s="1">
        <v>11</v>
      </c>
      <c r="AS86" s="3">
        <f t="shared" si="60"/>
        <v>1.7027863777089782</v>
      </c>
      <c r="AT86" s="1">
        <v>0</v>
      </c>
      <c r="AU86" s="3">
        <f t="shared" si="61"/>
        <v>0</v>
      </c>
      <c r="AV86" s="1">
        <v>4</v>
      </c>
      <c r="AW86" s="3">
        <f t="shared" si="62"/>
        <v>0.61919504643962853</v>
      </c>
      <c r="AX86" s="1">
        <v>10</v>
      </c>
      <c r="AY86" s="3">
        <f t="shared" si="63"/>
        <v>1.5479876160990713</v>
      </c>
      <c r="AZ86" s="1">
        <v>36</v>
      </c>
      <c r="BA86" s="3">
        <f t="shared" si="64"/>
        <v>5.5727554179566567</v>
      </c>
      <c r="BB86" t="s">
        <v>209</v>
      </c>
      <c r="BD86"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85.727272727272691</v>
      </c>
      <c r="BE86" s="13">
        <f>2*(Дума_партии[[#This Row],[5. Всероссийская политическая партия "ЕДИНАЯ РОССИЯ"]]-(AB$124/100)*Дума_партии[[#This Row],[Число действительных избирательных бюллетеней]])</f>
        <v>113.15999999999997</v>
      </c>
      <c r="BF86" s="13">
        <f>(Дума_партии[[#This Row],[Вброс]]+Дума_партии[[#This Row],[Перекладывание]])/2</f>
        <v>99.44363636363633</v>
      </c>
      <c r="BG86" s="13">
        <v>0</v>
      </c>
    </row>
    <row r="87" spans="1:59" x14ac:dyDescent="0.4">
      <c r="A87" s="1" t="s">
        <v>49</v>
      </c>
      <c r="B87" s="1" t="s">
        <v>50</v>
      </c>
      <c r="C87" s="1" t="s">
        <v>51</v>
      </c>
      <c r="D87" s="1" t="s">
        <v>102</v>
      </c>
      <c r="E87" s="1" t="s">
        <v>188</v>
      </c>
      <c r="F87" s="10">
        <f t="shared" ca="1" si="45"/>
        <v>1827</v>
      </c>
      <c r="G87" t="s">
        <v>248</v>
      </c>
      <c r="H87" s="1">
        <v>582</v>
      </c>
      <c r="I87" s="10">
        <f>Дума_партии[[#This Row],[Число избирателей, внесенных в список избирателей на момент окончания голосования]]</f>
        <v>582</v>
      </c>
      <c r="J87" s="1">
        <v>500</v>
      </c>
      <c r="K87" s="1">
        <v>0</v>
      </c>
      <c r="L87" s="1">
        <v>165</v>
      </c>
      <c r="M87" s="1">
        <v>130</v>
      </c>
      <c r="N87" s="3">
        <f t="shared" si="46"/>
        <v>50.687285223367695</v>
      </c>
      <c r="O87" s="3">
        <f t="shared" si="47"/>
        <v>22.336769759450171</v>
      </c>
      <c r="P87" s="1">
        <v>205</v>
      </c>
      <c r="Q87" s="1">
        <v>130</v>
      </c>
      <c r="R87" s="1">
        <v>165</v>
      </c>
      <c r="S87" s="1">
        <f t="shared" si="48"/>
        <v>295</v>
      </c>
      <c r="T87" s="3">
        <f t="shared" si="49"/>
        <v>44.067796610169495</v>
      </c>
      <c r="U87" s="1">
        <v>2</v>
      </c>
      <c r="V87" s="3">
        <f t="shared" si="50"/>
        <v>0.67796610169491522</v>
      </c>
      <c r="W87" s="1">
        <v>293</v>
      </c>
      <c r="X87" s="1">
        <v>0</v>
      </c>
      <c r="Y87" s="1">
        <v>0</v>
      </c>
      <c r="Z87" s="1">
        <v>61</v>
      </c>
      <c r="AA87" s="3">
        <f t="shared" si="51"/>
        <v>20.677966101694917</v>
      </c>
      <c r="AB87" s="1">
        <v>3</v>
      </c>
      <c r="AC87" s="3">
        <f t="shared" si="52"/>
        <v>1.0169491525423728</v>
      </c>
      <c r="AD87" s="1">
        <v>18</v>
      </c>
      <c r="AE87" s="3">
        <f t="shared" si="53"/>
        <v>6.101694915254237</v>
      </c>
      <c r="AF87" s="1">
        <v>9</v>
      </c>
      <c r="AG87" s="3">
        <f t="shared" si="54"/>
        <v>3.0508474576271185</v>
      </c>
      <c r="AH87" s="1">
        <v>158</v>
      </c>
      <c r="AI87" s="3">
        <f t="shared" si="55"/>
        <v>53.559322033898304</v>
      </c>
      <c r="AJ87" s="1">
        <v>15</v>
      </c>
      <c r="AK87" s="3">
        <f t="shared" si="56"/>
        <v>5.0847457627118642</v>
      </c>
      <c r="AL87" s="1">
        <v>6</v>
      </c>
      <c r="AM87" s="3">
        <f t="shared" si="57"/>
        <v>2.0338983050847457</v>
      </c>
      <c r="AN87" s="1">
        <v>0</v>
      </c>
      <c r="AO87" s="3">
        <f t="shared" si="58"/>
        <v>0</v>
      </c>
      <c r="AP87" s="1">
        <v>0</v>
      </c>
      <c r="AQ87" s="3">
        <f t="shared" si="59"/>
        <v>0</v>
      </c>
      <c r="AR87" s="1">
        <v>4</v>
      </c>
      <c r="AS87" s="3">
        <f t="shared" si="60"/>
        <v>1.3559322033898304</v>
      </c>
      <c r="AT87" s="1">
        <v>0</v>
      </c>
      <c r="AU87" s="3">
        <f t="shared" si="61"/>
        <v>0</v>
      </c>
      <c r="AV87" s="1">
        <v>1</v>
      </c>
      <c r="AW87" s="3">
        <f t="shared" si="62"/>
        <v>0.33898305084745761</v>
      </c>
      <c r="AX87" s="1">
        <v>5</v>
      </c>
      <c r="AY87" s="3">
        <f t="shared" si="63"/>
        <v>1.6949152542372881</v>
      </c>
      <c r="AZ87" s="1">
        <v>13</v>
      </c>
      <c r="BA87" s="3">
        <f t="shared" si="64"/>
        <v>4.406779661016949</v>
      </c>
      <c r="BB87" t="s">
        <v>209</v>
      </c>
      <c r="BD87"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88.454545454545439</v>
      </c>
      <c r="BE87" s="13">
        <f>2*(Дума_партии[[#This Row],[5. Всероссийская политическая партия "ЕДИНАЯ РОССИЯ"]]-(AB$124/100)*Дума_партии[[#This Row],[Число действительных избирательных бюллетеней]])</f>
        <v>116.75999999999999</v>
      </c>
      <c r="BF87" s="13">
        <f>(Дума_партии[[#This Row],[Вброс]]+Дума_партии[[#This Row],[Перекладывание]])/2</f>
        <v>102.60727272727271</v>
      </c>
      <c r="BG87" s="13">
        <v>0</v>
      </c>
    </row>
    <row r="88" spans="1:59" x14ac:dyDescent="0.4">
      <c r="A88" s="1" t="s">
        <v>49</v>
      </c>
      <c r="B88" s="1" t="s">
        <v>50</v>
      </c>
      <c r="C88" s="1" t="s">
        <v>51</v>
      </c>
      <c r="D88" s="1" t="s">
        <v>102</v>
      </c>
      <c r="E88" s="1" t="s">
        <v>189</v>
      </c>
      <c r="F88" s="10">
        <f t="shared" ca="1" si="45"/>
        <v>1828</v>
      </c>
      <c r="G88" t="s">
        <v>250</v>
      </c>
      <c r="H88" s="1">
        <v>1207</v>
      </c>
      <c r="I88" s="10">
        <f>Дума_партии[[#This Row],[Число избирателей, внесенных в список избирателей на момент окончания голосования]]</f>
        <v>1207</v>
      </c>
      <c r="J88" s="1">
        <v>1200</v>
      </c>
      <c r="K88" s="1">
        <v>0</v>
      </c>
      <c r="L88" s="1">
        <v>458</v>
      </c>
      <c r="M88" s="1">
        <v>170</v>
      </c>
      <c r="N88" s="3">
        <f t="shared" si="46"/>
        <v>52.029826014913006</v>
      </c>
      <c r="O88" s="3">
        <f t="shared" si="47"/>
        <v>14.084507042253522</v>
      </c>
      <c r="P88" s="1">
        <v>572</v>
      </c>
      <c r="Q88" s="1">
        <v>170</v>
      </c>
      <c r="R88" s="1">
        <v>458</v>
      </c>
      <c r="S88" s="1">
        <f t="shared" si="48"/>
        <v>628</v>
      </c>
      <c r="T88" s="3">
        <f t="shared" si="49"/>
        <v>27.070063694267517</v>
      </c>
      <c r="U88" s="1">
        <v>26</v>
      </c>
      <c r="V88" s="3">
        <f t="shared" si="50"/>
        <v>4.1401273885350323</v>
      </c>
      <c r="W88" s="1">
        <v>602</v>
      </c>
      <c r="X88" s="1">
        <v>0</v>
      </c>
      <c r="Y88" s="1">
        <v>0</v>
      </c>
      <c r="Z88" s="1">
        <v>126</v>
      </c>
      <c r="AA88" s="3">
        <f t="shared" si="51"/>
        <v>20.063694267515924</v>
      </c>
      <c r="AB88" s="1">
        <v>5</v>
      </c>
      <c r="AC88" s="3">
        <f t="shared" si="52"/>
        <v>0.79617834394904463</v>
      </c>
      <c r="AD88" s="1">
        <v>63</v>
      </c>
      <c r="AE88" s="3">
        <f t="shared" si="53"/>
        <v>10.031847133757962</v>
      </c>
      <c r="AF88" s="1">
        <v>34</v>
      </c>
      <c r="AG88" s="3">
        <f t="shared" si="54"/>
        <v>5.4140127388535033</v>
      </c>
      <c r="AH88" s="1">
        <v>262</v>
      </c>
      <c r="AI88" s="3">
        <f t="shared" si="55"/>
        <v>41.719745222929937</v>
      </c>
      <c r="AJ88" s="1">
        <v>35</v>
      </c>
      <c r="AK88" s="3">
        <f t="shared" si="56"/>
        <v>5.5732484076433124</v>
      </c>
      <c r="AL88" s="1">
        <v>6</v>
      </c>
      <c r="AM88" s="3">
        <f t="shared" si="57"/>
        <v>0.95541401273885351</v>
      </c>
      <c r="AN88" s="1">
        <v>1</v>
      </c>
      <c r="AO88" s="3">
        <f t="shared" si="58"/>
        <v>0.15923566878980891</v>
      </c>
      <c r="AP88" s="1">
        <v>9</v>
      </c>
      <c r="AQ88" s="3">
        <f t="shared" si="59"/>
        <v>1.4331210191082802</v>
      </c>
      <c r="AR88" s="1">
        <v>8</v>
      </c>
      <c r="AS88" s="3">
        <f t="shared" si="60"/>
        <v>1.2738853503184713</v>
      </c>
      <c r="AT88" s="1">
        <v>0</v>
      </c>
      <c r="AU88" s="3">
        <f t="shared" si="61"/>
        <v>0</v>
      </c>
      <c r="AV88" s="1">
        <v>9</v>
      </c>
      <c r="AW88" s="3">
        <f t="shared" si="62"/>
        <v>1.4331210191082802</v>
      </c>
      <c r="AX88" s="1">
        <v>10</v>
      </c>
      <c r="AY88" s="3">
        <f t="shared" si="63"/>
        <v>1.5923566878980893</v>
      </c>
      <c r="AZ88" s="1">
        <v>34</v>
      </c>
      <c r="BA88" s="3">
        <f t="shared" si="64"/>
        <v>5.4140127388535033</v>
      </c>
      <c r="BB88" t="s">
        <v>209</v>
      </c>
      <c r="BD88"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86.848484848484816</v>
      </c>
      <c r="BE88" s="13">
        <f>2*(Дума_партии[[#This Row],[5. Всероссийская политическая партия "ЕДИНАЯ РОССИЯ"]]-(AB$124/100)*Дума_партии[[#This Row],[Число действительных избирательных бюллетеней]])</f>
        <v>114.63999999999999</v>
      </c>
      <c r="BF88" s="13">
        <f>(Дума_партии[[#This Row],[Вброс]]+Дума_партии[[#This Row],[Перекладывание]])/2</f>
        <v>100.7442424242424</v>
      </c>
      <c r="BG88" s="13">
        <v>0</v>
      </c>
    </row>
    <row r="89" spans="1:59" x14ac:dyDescent="0.4">
      <c r="A89" s="1" t="s">
        <v>49</v>
      </c>
      <c r="B89" s="1" t="s">
        <v>50</v>
      </c>
      <c r="C89" s="1" t="s">
        <v>51</v>
      </c>
      <c r="D89" s="1" t="s">
        <v>102</v>
      </c>
      <c r="E89" s="1" t="s">
        <v>190</v>
      </c>
      <c r="F89" s="10">
        <f t="shared" ca="1" si="45"/>
        <v>3873</v>
      </c>
      <c r="G89" t="s">
        <v>228</v>
      </c>
      <c r="H89" s="1">
        <v>1548</v>
      </c>
      <c r="I89" s="10">
        <f>Дума_партии[[#This Row],[Число избирателей, внесенных в список избирателей на момент окончания голосования]]</f>
        <v>1548</v>
      </c>
      <c r="J89" s="1">
        <v>1500</v>
      </c>
      <c r="K89" s="1">
        <v>0</v>
      </c>
      <c r="L89" s="1">
        <v>538</v>
      </c>
      <c r="M89" s="1">
        <v>12</v>
      </c>
      <c r="N89" s="3">
        <f t="shared" si="46"/>
        <v>35.529715762273902</v>
      </c>
      <c r="O89" s="3">
        <f t="shared" si="47"/>
        <v>0.77519379844961245</v>
      </c>
      <c r="P89" s="1">
        <v>950</v>
      </c>
      <c r="Q89" s="1">
        <v>12</v>
      </c>
      <c r="R89" s="1">
        <v>533</v>
      </c>
      <c r="S89" s="1">
        <f t="shared" si="48"/>
        <v>545</v>
      </c>
      <c r="T89" s="3">
        <f t="shared" si="49"/>
        <v>2.2018348623853212</v>
      </c>
      <c r="U89" s="1">
        <v>26</v>
      </c>
      <c r="V89" s="3">
        <f t="shared" si="50"/>
        <v>4.7706422018348622</v>
      </c>
      <c r="W89" s="1">
        <v>519</v>
      </c>
      <c r="X89" s="1">
        <v>0</v>
      </c>
      <c r="Y89" s="1">
        <v>0</v>
      </c>
      <c r="Z89" s="1">
        <v>154</v>
      </c>
      <c r="AA89" s="3">
        <f t="shared" si="51"/>
        <v>28.256880733944953</v>
      </c>
      <c r="AB89" s="1">
        <v>9</v>
      </c>
      <c r="AC89" s="3">
        <f t="shared" si="52"/>
        <v>1.6513761467889909</v>
      </c>
      <c r="AD89" s="1">
        <v>33</v>
      </c>
      <c r="AE89" s="3">
        <f t="shared" si="53"/>
        <v>6.0550458715596331</v>
      </c>
      <c r="AF89" s="1">
        <v>28</v>
      </c>
      <c r="AG89" s="3">
        <f t="shared" si="54"/>
        <v>5.1376146788990829</v>
      </c>
      <c r="AH89" s="1">
        <v>177</v>
      </c>
      <c r="AI89" s="3">
        <f t="shared" si="55"/>
        <v>32.477064220183486</v>
      </c>
      <c r="AJ89" s="1">
        <v>38</v>
      </c>
      <c r="AK89" s="3">
        <f t="shared" si="56"/>
        <v>6.9724770642201834</v>
      </c>
      <c r="AL89" s="1">
        <v>16</v>
      </c>
      <c r="AM89" s="3">
        <f t="shared" si="57"/>
        <v>2.9357798165137616</v>
      </c>
      <c r="AN89" s="1">
        <v>3</v>
      </c>
      <c r="AO89" s="3">
        <f t="shared" si="58"/>
        <v>0.55045871559633031</v>
      </c>
      <c r="AP89" s="1">
        <v>3</v>
      </c>
      <c r="AQ89" s="3">
        <f t="shared" si="59"/>
        <v>0.55045871559633031</v>
      </c>
      <c r="AR89" s="1">
        <v>9</v>
      </c>
      <c r="AS89" s="3">
        <f t="shared" si="60"/>
        <v>1.6513761467889909</v>
      </c>
      <c r="AT89" s="1">
        <v>3</v>
      </c>
      <c r="AU89" s="3">
        <f t="shared" si="61"/>
        <v>0.55045871559633031</v>
      </c>
      <c r="AV89" s="1">
        <v>5</v>
      </c>
      <c r="AW89" s="3">
        <f t="shared" si="62"/>
        <v>0.91743119266055051</v>
      </c>
      <c r="AX89" s="1">
        <v>12</v>
      </c>
      <c r="AY89" s="3">
        <f t="shared" si="63"/>
        <v>2.2018348623853212</v>
      </c>
      <c r="AZ89" s="1">
        <v>29</v>
      </c>
      <c r="BA89" s="3">
        <f t="shared" si="64"/>
        <v>5.3211009174311927</v>
      </c>
      <c r="BB89" t="s">
        <v>209</v>
      </c>
      <c r="BD89"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0.81818181818178459</v>
      </c>
      <c r="BE89" s="13">
        <f>2*(Дума_партии[[#This Row],[5. Всероссийская политическая партия "ЕДИНАЯ РОССИЯ"]]-(AB$124/100)*Дума_партии[[#This Row],[Число действительных избирательных бюллетеней]])</f>
        <v>1.0799999999999841</v>
      </c>
      <c r="BF89" s="13">
        <f>(Дума_партии[[#This Row],[Вброс]]+Дума_партии[[#This Row],[Перекладывание]])/2</f>
        <v>0.94909090909088434</v>
      </c>
      <c r="BG89" s="13">
        <v>0</v>
      </c>
    </row>
    <row r="90" spans="1:59" x14ac:dyDescent="0.4">
      <c r="A90" s="1" t="s">
        <v>49</v>
      </c>
      <c r="B90" s="1" t="s">
        <v>50</v>
      </c>
      <c r="C90" s="1" t="s">
        <v>51</v>
      </c>
      <c r="D90" s="1" t="s">
        <v>102</v>
      </c>
      <c r="E90" s="1" t="s">
        <v>191</v>
      </c>
      <c r="F90" s="10">
        <f t="shared" ca="1" si="45"/>
        <v>3874</v>
      </c>
      <c r="G90" t="s">
        <v>228</v>
      </c>
      <c r="H90" s="1">
        <v>961</v>
      </c>
      <c r="I90" s="10">
        <f>Дума_партии[[#This Row],[Число избирателей, внесенных в список избирателей на момент окончания голосования]]</f>
        <v>961</v>
      </c>
      <c r="J90" s="1">
        <v>900</v>
      </c>
      <c r="K90" s="1">
        <v>0</v>
      </c>
      <c r="L90" s="1">
        <v>374</v>
      </c>
      <c r="M90" s="1">
        <v>11</v>
      </c>
      <c r="N90" s="3">
        <f t="shared" si="46"/>
        <v>40.062434963579605</v>
      </c>
      <c r="O90" s="3">
        <f t="shared" si="47"/>
        <v>1.1446409989594173</v>
      </c>
      <c r="P90" s="1">
        <v>515</v>
      </c>
      <c r="Q90" s="1">
        <v>11</v>
      </c>
      <c r="R90" s="1">
        <v>374</v>
      </c>
      <c r="S90" s="1">
        <f t="shared" si="48"/>
        <v>385</v>
      </c>
      <c r="T90" s="3">
        <f t="shared" si="49"/>
        <v>2.8571428571428572</v>
      </c>
      <c r="U90" s="1">
        <v>10</v>
      </c>
      <c r="V90" s="3">
        <f t="shared" si="50"/>
        <v>2.5974025974025974</v>
      </c>
      <c r="W90" s="1">
        <v>375</v>
      </c>
      <c r="X90" s="1">
        <v>0</v>
      </c>
      <c r="Y90" s="1">
        <v>0</v>
      </c>
      <c r="Z90" s="1">
        <v>71</v>
      </c>
      <c r="AA90" s="3">
        <f t="shared" si="51"/>
        <v>18.441558441558442</v>
      </c>
      <c r="AB90" s="1">
        <v>0</v>
      </c>
      <c r="AC90" s="3">
        <f t="shared" si="52"/>
        <v>0</v>
      </c>
      <c r="AD90" s="1">
        <v>31</v>
      </c>
      <c r="AE90" s="3">
        <f t="shared" si="53"/>
        <v>8.0519480519480524</v>
      </c>
      <c r="AF90" s="1">
        <v>17</v>
      </c>
      <c r="AG90" s="3">
        <f t="shared" si="54"/>
        <v>4.4155844155844157</v>
      </c>
      <c r="AH90" s="1">
        <v>195</v>
      </c>
      <c r="AI90" s="3">
        <f t="shared" si="55"/>
        <v>50.649350649350652</v>
      </c>
      <c r="AJ90" s="1">
        <v>26</v>
      </c>
      <c r="AK90" s="3">
        <f t="shared" si="56"/>
        <v>6.7532467532467528</v>
      </c>
      <c r="AL90" s="1">
        <v>3</v>
      </c>
      <c r="AM90" s="3">
        <f t="shared" si="57"/>
        <v>0.77922077922077926</v>
      </c>
      <c r="AN90" s="1">
        <v>1</v>
      </c>
      <c r="AO90" s="3">
        <f t="shared" si="58"/>
        <v>0.25974025974025972</v>
      </c>
      <c r="AP90" s="1">
        <v>0</v>
      </c>
      <c r="AQ90" s="3">
        <f t="shared" si="59"/>
        <v>0</v>
      </c>
      <c r="AR90" s="1">
        <v>6</v>
      </c>
      <c r="AS90" s="3">
        <f t="shared" si="60"/>
        <v>1.5584415584415585</v>
      </c>
      <c r="AT90" s="1">
        <v>0</v>
      </c>
      <c r="AU90" s="3">
        <f t="shared" si="61"/>
        <v>0</v>
      </c>
      <c r="AV90" s="1">
        <v>8</v>
      </c>
      <c r="AW90" s="3">
        <f t="shared" si="62"/>
        <v>2.0779220779220777</v>
      </c>
      <c r="AX90" s="1">
        <v>6</v>
      </c>
      <c r="AY90" s="3">
        <f t="shared" si="63"/>
        <v>1.5584415584415585</v>
      </c>
      <c r="AZ90" s="1">
        <v>11</v>
      </c>
      <c r="BA90" s="3">
        <f t="shared" si="64"/>
        <v>2.8571428571428572</v>
      </c>
      <c r="BB90" t="s">
        <v>209</v>
      </c>
      <c r="BD90"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102.27272727272725</v>
      </c>
      <c r="BE90" s="13">
        <f>2*(Дума_партии[[#This Row],[5. Всероссийская политическая партия "ЕДИНАЯ РОССИЯ"]]-(AB$124/100)*Дума_партии[[#This Row],[Число действительных избирательных бюллетеней]])</f>
        <v>134.99999999999997</v>
      </c>
      <c r="BF90" s="13">
        <f>(Дума_партии[[#This Row],[Вброс]]+Дума_партии[[#This Row],[Перекладывание]])/2</f>
        <v>118.63636363636361</v>
      </c>
      <c r="BG90" s="13">
        <v>0</v>
      </c>
    </row>
    <row r="91" spans="1:59" x14ac:dyDescent="0.4">
      <c r="A91" s="1" t="s">
        <v>49</v>
      </c>
      <c r="B91" s="1" t="s">
        <v>50</v>
      </c>
      <c r="C91" s="1" t="s">
        <v>51</v>
      </c>
      <c r="D91" s="1" t="s">
        <v>102</v>
      </c>
      <c r="E91" s="1" t="s">
        <v>192</v>
      </c>
      <c r="F91" s="10">
        <f t="shared" ca="1" si="45"/>
        <v>3875</v>
      </c>
      <c r="G91" t="s">
        <v>228</v>
      </c>
      <c r="H91" s="1">
        <v>1130</v>
      </c>
      <c r="I91" s="10">
        <f>Дума_партии[[#This Row],[Число избирателей, внесенных в список избирателей на момент окончания голосования]]</f>
        <v>1130</v>
      </c>
      <c r="J91" s="1">
        <v>1100</v>
      </c>
      <c r="K91" s="1">
        <v>0</v>
      </c>
      <c r="L91" s="1">
        <v>367</v>
      </c>
      <c r="M91" s="1">
        <v>10</v>
      </c>
      <c r="N91" s="3">
        <f t="shared" si="46"/>
        <v>33.362831858407077</v>
      </c>
      <c r="O91" s="3">
        <f t="shared" si="47"/>
        <v>0.88495575221238942</v>
      </c>
      <c r="P91" s="1">
        <v>723</v>
      </c>
      <c r="Q91" s="1">
        <v>10</v>
      </c>
      <c r="R91" s="1">
        <v>367</v>
      </c>
      <c r="S91" s="1">
        <f t="shared" si="48"/>
        <v>377</v>
      </c>
      <c r="T91" s="3">
        <f t="shared" si="49"/>
        <v>2.6525198938992043</v>
      </c>
      <c r="U91" s="1">
        <v>47</v>
      </c>
      <c r="V91" s="3">
        <f t="shared" si="50"/>
        <v>12.46684350132626</v>
      </c>
      <c r="W91" s="1">
        <v>330</v>
      </c>
      <c r="X91" s="1">
        <v>0</v>
      </c>
      <c r="Y91" s="1">
        <v>0</v>
      </c>
      <c r="Z91" s="1">
        <v>78</v>
      </c>
      <c r="AA91" s="3">
        <f t="shared" si="51"/>
        <v>20.689655172413794</v>
      </c>
      <c r="AB91" s="1">
        <v>5</v>
      </c>
      <c r="AC91" s="3">
        <f t="shared" si="52"/>
        <v>1.3262599469496021</v>
      </c>
      <c r="AD91" s="1">
        <v>35</v>
      </c>
      <c r="AE91" s="3">
        <f t="shared" si="53"/>
        <v>9.2838196286472154</v>
      </c>
      <c r="AF91" s="1">
        <v>27</v>
      </c>
      <c r="AG91" s="3">
        <f t="shared" si="54"/>
        <v>7.1618037135278518</v>
      </c>
      <c r="AH91" s="1">
        <v>125</v>
      </c>
      <c r="AI91" s="3">
        <f t="shared" si="55"/>
        <v>33.156498673740053</v>
      </c>
      <c r="AJ91" s="1">
        <v>20</v>
      </c>
      <c r="AK91" s="3">
        <f t="shared" si="56"/>
        <v>5.3050397877984086</v>
      </c>
      <c r="AL91" s="1">
        <v>10</v>
      </c>
      <c r="AM91" s="3">
        <f t="shared" si="57"/>
        <v>2.6525198938992043</v>
      </c>
      <c r="AN91" s="1">
        <v>3</v>
      </c>
      <c r="AO91" s="3">
        <f t="shared" si="58"/>
        <v>0.79575596816976124</v>
      </c>
      <c r="AP91" s="1">
        <v>2</v>
      </c>
      <c r="AQ91" s="3">
        <f t="shared" si="59"/>
        <v>0.5305039787798409</v>
      </c>
      <c r="AR91" s="1">
        <v>7</v>
      </c>
      <c r="AS91" s="3">
        <f t="shared" si="60"/>
        <v>1.856763925729443</v>
      </c>
      <c r="AT91" s="1">
        <v>2</v>
      </c>
      <c r="AU91" s="3">
        <f t="shared" si="61"/>
        <v>0.5305039787798409</v>
      </c>
      <c r="AV91" s="1">
        <v>3</v>
      </c>
      <c r="AW91" s="3">
        <f t="shared" si="62"/>
        <v>0.79575596816976124</v>
      </c>
      <c r="AX91" s="1">
        <v>4</v>
      </c>
      <c r="AY91" s="3">
        <f t="shared" si="63"/>
        <v>1.0610079575596818</v>
      </c>
      <c r="AZ91" s="1">
        <v>9</v>
      </c>
      <c r="BA91" s="3">
        <f t="shared" si="64"/>
        <v>2.3872679045092839</v>
      </c>
      <c r="BB91" t="s">
        <v>209</v>
      </c>
      <c r="BD91"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19.393939393939377</v>
      </c>
      <c r="BE91" s="13">
        <f>2*(Дума_партии[[#This Row],[5. Всероссийская политическая партия "ЕДИНАЯ РОССИЯ"]]-(AB$124/100)*Дума_партии[[#This Row],[Число действительных избирательных бюллетеней]])</f>
        <v>25.599999999999994</v>
      </c>
      <c r="BF91" s="13">
        <f>(Дума_партии[[#This Row],[Вброс]]+Дума_партии[[#This Row],[Перекладывание]])/2</f>
        <v>22.496969696969686</v>
      </c>
      <c r="BG91" s="13">
        <v>0</v>
      </c>
    </row>
    <row r="92" spans="1:59" x14ac:dyDescent="0.4">
      <c r="A92" s="1" t="s">
        <v>49</v>
      </c>
      <c r="B92" s="1" t="s">
        <v>50</v>
      </c>
      <c r="C92" s="1" t="s">
        <v>51</v>
      </c>
      <c r="D92" s="1" t="s">
        <v>102</v>
      </c>
      <c r="E92" s="1" t="s">
        <v>193</v>
      </c>
      <c r="F92" s="10">
        <f t="shared" ca="1" si="45"/>
        <v>3876</v>
      </c>
      <c r="G92" t="s">
        <v>228</v>
      </c>
      <c r="H92" s="1">
        <v>965</v>
      </c>
      <c r="I92" s="10">
        <f>Дума_партии[[#This Row],[Число избирателей, внесенных в список избирателей на момент окончания голосования]]</f>
        <v>965</v>
      </c>
      <c r="J92" s="1">
        <v>900</v>
      </c>
      <c r="K92" s="1">
        <v>0</v>
      </c>
      <c r="L92" s="1">
        <v>367</v>
      </c>
      <c r="M92" s="1">
        <v>11</v>
      </c>
      <c r="N92" s="3">
        <f t="shared" si="46"/>
        <v>39.170984455958546</v>
      </c>
      <c r="O92" s="3">
        <f t="shared" si="47"/>
        <v>1.1398963730569949</v>
      </c>
      <c r="P92" s="1">
        <v>521</v>
      </c>
      <c r="Q92" s="1">
        <v>11</v>
      </c>
      <c r="R92" s="1">
        <v>367</v>
      </c>
      <c r="S92" s="1">
        <f t="shared" si="48"/>
        <v>378</v>
      </c>
      <c r="T92" s="3">
        <f t="shared" si="49"/>
        <v>2.9100529100529102</v>
      </c>
      <c r="U92" s="1">
        <v>12</v>
      </c>
      <c r="V92" s="3">
        <f t="shared" si="50"/>
        <v>3.1746031746031744</v>
      </c>
      <c r="W92" s="1">
        <v>366</v>
      </c>
      <c r="X92" s="1">
        <v>1</v>
      </c>
      <c r="Y92" s="1">
        <v>0</v>
      </c>
      <c r="Z92" s="1">
        <v>94</v>
      </c>
      <c r="AA92" s="3">
        <f t="shared" si="51"/>
        <v>24.867724867724867</v>
      </c>
      <c r="AB92" s="1">
        <v>7</v>
      </c>
      <c r="AC92" s="3">
        <f t="shared" si="52"/>
        <v>1.8518518518518519</v>
      </c>
      <c r="AD92" s="1">
        <v>38</v>
      </c>
      <c r="AE92" s="3">
        <f t="shared" si="53"/>
        <v>10.052910052910052</v>
      </c>
      <c r="AF92" s="1">
        <v>24</v>
      </c>
      <c r="AG92" s="3">
        <f t="shared" si="54"/>
        <v>6.3492063492063489</v>
      </c>
      <c r="AH92" s="1">
        <v>120</v>
      </c>
      <c r="AI92" s="3">
        <f t="shared" si="55"/>
        <v>31.746031746031747</v>
      </c>
      <c r="AJ92" s="1">
        <v>37</v>
      </c>
      <c r="AK92" s="3">
        <f t="shared" si="56"/>
        <v>9.7883597883597879</v>
      </c>
      <c r="AL92" s="1">
        <v>8</v>
      </c>
      <c r="AM92" s="3">
        <f t="shared" si="57"/>
        <v>2.1164021164021163</v>
      </c>
      <c r="AN92" s="1">
        <v>3</v>
      </c>
      <c r="AO92" s="3">
        <f t="shared" si="58"/>
        <v>0.79365079365079361</v>
      </c>
      <c r="AP92" s="1">
        <v>3</v>
      </c>
      <c r="AQ92" s="3">
        <f t="shared" si="59"/>
        <v>0.79365079365079361</v>
      </c>
      <c r="AR92" s="1">
        <v>4</v>
      </c>
      <c r="AS92" s="3">
        <f t="shared" si="60"/>
        <v>1.0582010582010581</v>
      </c>
      <c r="AT92" s="1">
        <v>1</v>
      </c>
      <c r="AU92" s="3">
        <f t="shared" si="61"/>
        <v>0.26455026455026454</v>
      </c>
      <c r="AV92" s="1">
        <v>4</v>
      </c>
      <c r="AW92" s="3">
        <f t="shared" si="62"/>
        <v>1.0582010582010581</v>
      </c>
      <c r="AX92" s="1">
        <v>6</v>
      </c>
      <c r="AY92" s="3">
        <f t="shared" si="63"/>
        <v>1.5873015873015872</v>
      </c>
      <c r="AZ92" s="1">
        <v>17</v>
      </c>
      <c r="BA92" s="3">
        <f t="shared" si="64"/>
        <v>4.4973544973544977</v>
      </c>
      <c r="BB92" t="s">
        <v>209</v>
      </c>
      <c r="BD92"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-6.7272727272727479</v>
      </c>
      <c r="BE92" s="13">
        <f>2*(Дума_партии[[#This Row],[5. Всероссийская политическая партия "ЕДИНАЯ РОССИЯ"]]-(AB$124/100)*Дума_партии[[#This Row],[Число действительных избирательных бюллетеней]])</f>
        <v>-8.8800000000000239</v>
      </c>
      <c r="BF92" s="13">
        <f>(Дума_партии[[#This Row],[Вброс]]+Дума_партии[[#This Row],[Перекладывание]])/2</f>
        <v>-7.8036363636363859</v>
      </c>
      <c r="BG92" s="13">
        <v>0</v>
      </c>
    </row>
    <row r="93" spans="1:59" x14ac:dyDescent="0.4">
      <c r="A93" s="1" t="s">
        <v>49</v>
      </c>
      <c r="B93" s="1" t="s">
        <v>50</v>
      </c>
      <c r="C93" s="1" t="s">
        <v>51</v>
      </c>
      <c r="D93" s="1" t="s">
        <v>102</v>
      </c>
      <c r="E93" s="1" t="s">
        <v>194</v>
      </c>
      <c r="F93" s="10">
        <f t="shared" ca="1" si="45"/>
        <v>3877</v>
      </c>
      <c r="G93" t="s">
        <v>228</v>
      </c>
      <c r="H93" s="1">
        <v>1280</v>
      </c>
      <c r="I93" s="10">
        <f>Дума_партии[[#This Row],[Число избирателей, внесенных в список избирателей на момент окончания голосования]]</f>
        <v>1280</v>
      </c>
      <c r="J93" s="1">
        <v>1400</v>
      </c>
      <c r="K93" s="1">
        <v>0</v>
      </c>
      <c r="L93" s="1">
        <v>703</v>
      </c>
      <c r="M93" s="1">
        <v>3</v>
      </c>
      <c r="N93" s="3">
        <f t="shared" si="46"/>
        <v>55.15625</v>
      </c>
      <c r="O93" s="3">
        <f t="shared" si="47"/>
        <v>0.234375</v>
      </c>
      <c r="P93" s="1">
        <v>694</v>
      </c>
      <c r="Q93" s="1">
        <v>0</v>
      </c>
      <c r="R93" s="1">
        <v>703</v>
      </c>
      <c r="S93" s="1">
        <f t="shared" si="48"/>
        <v>703</v>
      </c>
      <c r="T93" s="3">
        <f t="shared" si="49"/>
        <v>0</v>
      </c>
      <c r="U93" s="1">
        <v>21</v>
      </c>
      <c r="V93" s="3">
        <f t="shared" si="50"/>
        <v>2.9871977240398291</v>
      </c>
      <c r="W93" s="1">
        <v>682</v>
      </c>
      <c r="X93" s="1">
        <v>0</v>
      </c>
      <c r="Y93" s="1">
        <v>0</v>
      </c>
      <c r="Z93" s="1">
        <v>107</v>
      </c>
      <c r="AA93" s="3">
        <f t="shared" si="51"/>
        <v>15.220483641536273</v>
      </c>
      <c r="AB93" s="1">
        <v>10</v>
      </c>
      <c r="AC93" s="3">
        <f t="shared" si="52"/>
        <v>1.4224751066856329</v>
      </c>
      <c r="AD93" s="1">
        <v>38</v>
      </c>
      <c r="AE93" s="3">
        <f t="shared" si="53"/>
        <v>5.4054054054054053</v>
      </c>
      <c r="AF93" s="1">
        <v>25</v>
      </c>
      <c r="AG93" s="3">
        <f t="shared" si="54"/>
        <v>3.5561877667140824</v>
      </c>
      <c r="AH93" s="1">
        <v>410</v>
      </c>
      <c r="AI93" s="3">
        <f t="shared" si="55"/>
        <v>58.32147937411095</v>
      </c>
      <c r="AJ93" s="1">
        <v>26</v>
      </c>
      <c r="AK93" s="3">
        <f t="shared" si="56"/>
        <v>3.6984352773826457</v>
      </c>
      <c r="AL93" s="1">
        <v>12</v>
      </c>
      <c r="AM93" s="3">
        <f t="shared" si="57"/>
        <v>1.7069701280227596</v>
      </c>
      <c r="AN93" s="1">
        <v>2</v>
      </c>
      <c r="AO93" s="3">
        <f t="shared" si="58"/>
        <v>0.28449502133712662</v>
      </c>
      <c r="AP93" s="1">
        <v>4</v>
      </c>
      <c r="AQ93" s="3">
        <f t="shared" si="59"/>
        <v>0.56899004267425324</v>
      </c>
      <c r="AR93" s="1">
        <v>4</v>
      </c>
      <c r="AS93" s="3">
        <f t="shared" si="60"/>
        <v>0.56899004267425324</v>
      </c>
      <c r="AT93" s="1">
        <v>2</v>
      </c>
      <c r="AU93" s="3">
        <f t="shared" si="61"/>
        <v>0.28449502133712662</v>
      </c>
      <c r="AV93" s="1">
        <v>2</v>
      </c>
      <c r="AW93" s="3">
        <f t="shared" si="62"/>
        <v>0.28449502133712662</v>
      </c>
      <c r="AX93" s="1">
        <v>7</v>
      </c>
      <c r="AY93" s="3">
        <f t="shared" si="63"/>
        <v>0.99573257467994314</v>
      </c>
      <c r="AZ93" s="1">
        <v>33</v>
      </c>
      <c r="BA93" s="3">
        <f t="shared" si="64"/>
        <v>4.6941678520625887</v>
      </c>
      <c r="BB93" t="s">
        <v>209</v>
      </c>
      <c r="BD93"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269.87878787878788</v>
      </c>
      <c r="BE93" s="13">
        <f>2*(Дума_партии[[#This Row],[5. Всероссийская политическая партия "ЕДИНАЯ РОССИЯ"]]-(AB$124/100)*Дума_партии[[#This Row],[Число действительных избирательных бюллетеней]])</f>
        <v>356.23999999999995</v>
      </c>
      <c r="BF93" s="13">
        <f>(Дума_партии[[#This Row],[Вброс]]+Дума_партии[[#This Row],[Перекладывание]])/2</f>
        <v>313.05939393939389</v>
      </c>
      <c r="BG93" s="13">
        <v>0</v>
      </c>
    </row>
    <row r="94" spans="1:59" x14ac:dyDescent="0.4">
      <c r="A94" s="1" t="s">
        <v>49</v>
      </c>
      <c r="B94" s="1" t="s">
        <v>50</v>
      </c>
      <c r="C94" s="1" t="s">
        <v>51</v>
      </c>
      <c r="D94" s="1" t="s">
        <v>102</v>
      </c>
      <c r="E94" s="1" t="s">
        <v>195</v>
      </c>
      <c r="F94" s="10">
        <f t="shared" ca="1" si="45"/>
        <v>3878</v>
      </c>
      <c r="G94" t="s">
        <v>228</v>
      </c>
      <c r="H94" s="1">
        <v>1312</v>
      </c>
      <c r="I94" s="10">
        <f>Дума_партии[[#This Row],[Число избирателей, внесенных в список избирателей на момент окончания голосования]]</f>
        <v>1312</v>
      </c>
      <c r="J94" s="1">
        <v>1300</v>
      </c>
      <c r="K94" s="1">
        <v>0</v>
      </c>
      <c r="L94" s="1">
        <v>508</v>
      </c>
      <c r="M94" s="1">
        <v>23</v>
      </c>
      <c r="N94" s="3">
        <f t="shared" si="46"/>
        <v>40.472560975609753</v>
      </c>
      <c r="O94" s="3">
        <f t="shared" si="47"/>
        <v>1.7530487804878048</v>
      </c>
      <c r="P94" s="1">
        <v>769</v>
      </c>
      <c r="Q94" s="1">
        <v>23</v>
      </c>
      <c r="R94" s="1">
        <v>508</v>
      </c>
      <c r="S94" s="1">
        <f t="shared" si="48"/>
        <v>531</v>
      </c>
      <c r="T94" s="3">
        <f t="shared" si="49"/>
        <v>4.3314500941619585</v>
      </c>
      <c r="U94" s="1">
        <v>19</v>
      </c>
      <c r="V94" s="3">
        <f t="shared" si="50"/>
        <v>3.5781544256120528</v>
      </c>
      <c r="W94" s="1">
        <v>512</v>
      </c>
      <c r="X94" s="1">
        <v>0</v>
      </c>
      <c r="Y94" s="1">
        <v>0</v>
      </c>
      <c r="Z94" s="1">
        <v>106</v>
      </c>
      <c r="AA94" s="3">
        <f t="shared" si="51"/>
        <v>19.962335216572505</v>
      </c>
      <c r="AB94" s="1">
        <v>9</v>
      </c>
      <c r="AC94" s="3">
        <f t="shared" si="52"/>
        <v>1.6949152542372881</v>
      </c>
      <c r="AD94" s="1">
        <v>48</v>
      </c>
      <c r="AE94" s="3">
        <f t="shared" si="53"/>
        <v>9.0395480225988702</v>
      </c>
      <c r="AF94" s="1">
        <v>23</v>
      </c>
      <c r="AG94" s="3">
        <f t="shared" si="54"/>
        <v>4.3314500941619585</v>
      </c>
      <c r="AH94" s="1">
        <v>242</v>
      </c>
      <c r="AI94" s="3">
        <f t="shared" si="55"/>
        <v>45.574387947269301</v>
      </c>
      <c r="AJ94" s="1">
        <v>29</v>
      </c>
      <c r="AK94" s="3">
        <f t="shared" si="56"/>
        <v>5.4613935969868175</v>
      </c>
      <c r="AL94" s="1">
        <v>9</v>
      </c>
      <c r="AM94" s="3">
        <f t="shared" si="57"/>
        <v>1.6949152542372881</v>
      </c>
      <c r="AN94" s="1">
        <v>1</v>
      </c>
      <c r="AO94" s="3">
        <f t="shared" si="58"/>
        <v>0.18832391713747645</v>
      </c>
      <c r="AP94" s="1">
        <v>10</v>
      </c>
      <c r="AQ94" s="3">
        <f t="shared" si="59"/>
        <v>1.8832391713747645</v>
      </c>
      <c r="AR94" s="1">
        <v>9</v>
      </c>
      <c r="AS94" s="3">
        <f t="shared" si="60"/>
        <v>1.6949152542372881</v>
      </c>
      <c r="AT94" s="1">
        <v>1</v>
      </c>
      <c r="AU94" s="3">
        <f t="shared" si="61"/>
        <v>0.18832391713747645</v>
      </c>
      <c r="AV94" s="1">
        <v>3</v>
      </c>
      <c r="AW94" s="3">
        <f t="shared" si="62"/>
        <v>0.56497175141242939</v>
      </c>
      <c r="AX94" s="1">
        <v>5</v>
      </c>
      <c r="AY94" s="3">
        <f t="shared" si="63"/>
        <v>0.94161958568738224</v>
      </c>
      <c r="AZ94" s="1">
        <v>17</v>
      </c>
      <c r="BA94" s="3">
        <f t="shared" si="64"/>
        <v>3.2015065913370999</v>
      </c>
      <c r="BB94" t="s">
        <v>209</v>
      </c>
      <c r="BD94"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102.90909090909088</v>
      </c>
      <c r="BE94" s="13">
        <f>2*(Дума_партии[[#This Row],[5. Всероссийская политическая партия "ЕДИНАЯ РОССИЯ"]]-(AB$124/100)*Дума_партии[[#This Row],[Число действительных избирательных бюллетеней]])</f>
        <v>135.83999999999997</v>
      </c>
      <c r="BF94" s="13">
        <f>(Дума_партии[[#This Row],[Вброс]]+Дума_партии[[#This Row],[Перекладывание]])/2</f>
        <v>119.37454545454543</v>
      </c>
      <c r="BG94" s="13">
        <v>0</v>
      </c>
    </row>
    <row r="95" spans="1:59" x14ac:dyDescent="0.4">
      <c r="A95" s="1" t="s">
        <v>49</v>
      </c>
      <c r="B95" s="1" t="s">
        <v>50</v>
      </c>
      <c r="C95" s="1" t="s">
        <v>51</v>
      </c>
      <c r="D95" s="1" t="s">
        <v>102</v>
      </c>
      <c r="E95" s="1" t="s">
        <v>196</v>
      </c>
      <c r="F95" s="10">
        <f t="shared" ca="1" si="45"/>
        <v>3879</v>
      </c>
      <c r="G95" t="s">
        <v>228</v>
      </c>
      <c r="H95" s="1">
        <v>922</v>
      </c>
      <c r="I95" s="10">
        <f>Дума_партии[[#This Row],[Число избирателей, внесенных в список избирателей на момент окончания голосования]]</f>
        <v>922</v>
      </c>
      <c r="J95" s="1">
        <v>1000</v>
      </c>
      <c r="K95" s="1">
        <v>0</v>
      </c>
      <c r="L95" s="1">
        <v>258</v>
      </c>
      <c r="M95" s="1">
        <v>185</v>
      </c>
      <c r="N95" s="3">
        <f t="shared" si="46"/>
        <v>48.047722342733188</v>
      </c>
      <c r="O95" s="3">
        <f t="shared" si="47"/>
        <v>20.065075921908893</v>
      </c>
      <c r="P95" s="1">
        <v>557</v>
      </c>
      <c r="Q95" s="1">
        <v>185</v>
      </c>
      <c r="R95" s="1">
        <v>258</v>
      </c>
      <c r="S95" s="1">
        <f t="shared" si="48"/>
        <v>443</v>
      </c>
      <c r="T95" s="3">
        <f t="shared" si="49"/>
        <v>41.760722347629795</v>
      </c>
      <c r="U95" s="1">
        <v>9</v>
      </c>
      <c r="V95" s="3">
        <f t="shared" si="50"/>
        <v>2.0316027088036117</v>
      </c>
      <c r="W95" s="1">
        <v>434</v>
      </c>
      <c r="X95" s="1">
        <v>0</v>
      </c>
      <c r="Y95" s="1">
        <v>0</v>
      </c>
      <c r="Z95" s="1">
        <v>57</v>
      </c>
      <c r="AA95" s="3">
        <f t="shared" si="51"/>
        <v>12.866817155756207</v>
      </c>
      <c r="AB95" s="1">
        <v>4</v>
      </c>
      <c r="AC95" s="3">
        <f t="shared" si="52"/>
        <v>0.90293453724604966</v>
      </c>
      <c r="AD95" s="1">
        <v>32</v>
      </c>
      <c r="AE95" s="3">
        <f t="shared" si="53"/>
        <v>7.2234762979683973</v>
      </c>
      <c r="AF95" s="1">
        <v>14</v>
      </c>
      <c r="AG95" s="3">
        <f t="shared" si="54"/>
        <v>3.1602708803611739</v>
      </c>
      <c r="AH95" s="1">
        <v>272</v>
      </c>
      <c r="AI95" s="3">
        <f t="shared" si="55"/>
        <v>61.39954853273138</v>
      </c>
      <c r="AJ95" s="1">
        <v>19</v>
      </c>
      <c r="AK95" s="3">
        <f t="shared" si="56"/>
        <v>4.288939051918736</v>
      </c>
      <c r="AL95" s="1">
        <v>1</v>
      </c>
      <c r="AM95" s="3">
        <f t="shared" si="57"/>
        <v>0.22573363431151242</v>
      </c>
      <c r="AN95" s="1">
        <v>2</v>
      </c>
      <c r="AO95" s="3">
        <f t="shared" si="58"/>
        <v>0.45146726862302483</v>
      </c>
      <c r="AP95" s="1">
        <v>5</v>
      </c>
      <c r="AQ95" s="3">
        <f t="shared" si="59"/>
        <v>1.1286681715575622</v>
      </c>
      <c r="AR95" s="1">
        <v>8</v>
      </c>
      <c r="AS95" s="3">
        <f t="shared" si="60"/>
        <v>1.8058690744920993</v>
      </c>
      <c r="AT95" s="1">
        <v>0</v>
      </c>
      <c r="AU95" s="3">
        <f t="shared" si="61"/>
        <v>0</v>
      </c>
      <c r="AV95" s="1">
        <v>8</v>
      </c>
      <c r="AW95" s="3">
        <f t="shared" si="62"/>
        <v>1.8058690744920993</v>
      </c>
      <c r="AX95" s="1">
        <v>1</v>
      </c>
      <c r="AY95" s="3">
        <f t="shared" si="63"/>
        <v>0.22573363431151242</v>
      </c>
      <c r="AZ95" s="1">
        <v>11</v>
      </c>
      <c r="BA95" s="3">
        <f t="shared" si="64"/>
        <v>2.4830699774266365</v>
      </c>
      <c r="BB95" t="s">
        <v>209</v>
      </c>
      <c r="BD95"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188.54545454545453</v>
      </c>
      <c r="BE95" s="13">
        <f>2*(Дума_партии[[#This Row],[5. Всероссийская политическая партия "ЕДИНАЯ РОССИЯ"]]-(AB$124/100)*Дума_партии[[#This Row],[Число действительных избирательных бюллетеней]])</f>
        <v>248.88</v>
      </c>
      <c r="BF95" s="13">
        <f>(Дума_партии[[#This Row],[Вброс]]+Дума_партии[[#This Row],[Перекладывание]])/2</f>
        <v>218.71272727272725</v>
      </c>
      <c r="BG95" s="13">
        <v>0</v>
      </c>
    </row>
    <row r="96" spans="1:59" x14ac:dyDescent="0.4">
      <c r="A96" s="1" t="s">
        <v>49</v>
      </c>
      <c r="B96" s="1" t="s">
        <v>50</v>
      </c>
      <c r="C96" s="1" t="s">
        <v>51</v>
      </c>
      <c r="D96" s="1" t="s">
        <v>102</v>
      </c>
      <c r="E96" s="1" t="s">
        <v>197</v>
      </c>
      <c r="F96" s="10">
        <f t="shared" ca="1" si="45"/>
        <v>3880</v>
      </c>
      <c r="G96" s="1" t="s">
        <v>231</v>
      </c>
      <c r="H96" s="1">
        <v>1746</v>
      </c>
      <c r="I96" s="10">
        <f>Дума_партии[[#This Row],[Число избирателей, внесенных в список избирателей на момент окончания голосования]]</f>
        <v>1746</v>
      </c>
      <c r="J96" s="1">
        <v>1700</v>
      </c>
      <c r="K96" s="1">
        <v>0</v>
      </c>
      <c r="L96" s="1">
        <v>402</v>
      </c>
      <c r="M96" s="1">
        <v>18</v>
      </c>
      <c r="N96" s="3">
        <f t="shared" si="46"/>
        <v>24.054982817869416</v>
      </c>
      <c r="O96" s="3">
        <f t="shared" si="47"/>
        <v>1.0309278350515463</v>
      </c>
      <c r="P96" s="1">
        <v>1280</v>
      </c>
      <c r="Q96" s="1">
        <v>18</v>
      </c>
      <c r="R96" s="1">
        <v>402</v>
      </c>
      <c r="S96" s="1">
        <f t="shared" si="48"/>
        <v>420</v>
      </c>
      <c r="T96" s="3">
        <f t="shared" si="49"/>
        <v>4.2857142857142856</v>
      </c>
      <c r="U96" s="1">
        <v>17</v>
      </c>
      <c r="V96" s="3">
        <f t="shared" si="50"/>
        <v>4.0476190476190474</v>
      </c>
      <c r="W96" s="1">
        <v>403</v>
      </c>
      <c r="X96" s="1">
        <v>0</v>
      </c>
      <c r="Y96" s="1">
        <v>0</v>
      </c>
      <c r="Z96" s="1">
        <v>108</v>
      </c>
      <c r="AA96" s="3">
        <f t="shared" si="51"/>
        <v>25.714285714285715</v>
      </c>
      <c r="AB96" s="1">
        <v>3</v>
      </c>
      <c r="AC96" s="3">
        <f t="shared" si="52"/>
        <v>0.7142857142857143</v>
      </c>
      <c r="AD96" s="1">
        <v>36</v>
      </c>
      <c r="AE96" s="3">
        <f t="shared" si="53"/>
        <v>8.5714285714285712</v>
      </c>
      <c r="AF96" s="1">
        <v>36</v>
      </c>
      <c r="AG96" s="3">
        <f t="shared" si="54"/>
        <v>8.5714285714285712</v>
      </c>
      <c r="AH96" s="1">
        <v>125</v>
      </c>
      <c r="AI96" s="3">
        <f t="shared" si="55"/>
        <v>29.761904761904763</v>
      </c>
      <c r="AJ96" s="1">
        <v>26</v>
      </c>
      <c r="AK96" s="3">
        <f t="shared" si="56"/>
        <v>6.1904761904761907</v>
      </c>
      <c r="AL96" s="1">
        <v>22</v>
      </c>
      <c r="AM96" s="3">
        <f t="shared" si="57"/>
        <v>5.2380952380952381</v>
      </c>
      <c r="AN96" s="1">
        <v>6</v>
      </c>
      <c r="AO96" s="3">
        <f t="shared" si="58"/>
        <v>1.4285714285714286</v>
      </c>
      <c r="AP96" s="1">
        <v>3</v>
      </c>
      <c r="AQ96" s="3">
        <f t="shared" si="59"/>
        <v>0.7142857142857143</v>
      </c>
      <c r="AR96" s="1">
        <v>8</v>
      </c>
      <c r="AS96" s="3">
        <f t="shared" si="60"/>
        <v>1.9047619047619047</v>
      </c>
      <c r="AT96" s="1">
        <v>2</v>
      </c>
      <c r="AU96" s="3">
        <f t="shared" si="61"/>
        <v>0.47619047619047616</v>
      </c>
      <c r="AV96" s="1">
        <v>4</v>
      </c>
      <c r="AW96" s="3">
        <f t="shared" si="62"/>
        <v>0.95238095238095233</v>
      </c>
      <c r="AX96" s="1">
        <v>7</v>
      </c>
      <c r="AY96" s="3">
        <f t="shared" si="63"/>
        <v>1.6666666666666667</v>
      </c>
      <c r="AZ96" s="1">
        <v>17</v>
      </c>
      <c r="BA96" s="3">
        <f t="shared" si="64"/>
        <v>4.0476190476190474</v>
      </c>
      <c r="BB96" t="s">
        <v>209</v>
      </c>
      <c r="BD96"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-18.212121212121247</v>
      </c>
      <c r="BE96" s="13">
        <f>2*(Дума_партии[[#This Row],[5. Всероссийская политическая партия "ЕДИНАЯ РОССИЯ"]]-(AB$124/100)*Дума_партии[[#This Row],[Число действительных избирательных бюллетеней]])</f>
        <v>-24.04000000000002</v>
      </c>
      <c r="BF96" s="13">
        <f>(Дума_партии[[#This Row],[Вброс]]+Дума_партии[[#This Row],[Перекладывание]])/2</f>
        <v>-21.126060606060634</v>
      </c>
      <c r="BG96" s="13" t="s">
        <v>255</v>
      </c>
    </row>
    <row r="97" spans="1:59" x14ac:dyDescent="0.4">
      <c r="A97" s="1" t="s">
        <v>49</v>
      </c>
      <c r="B97" s="1" t="s">
        <v>50</v>
      </c>
      <c r="C97" s="1" t="s">
        <v>51</v>
      </c>
      <c r="D97" s="1" t="s">
        <v>102</v>
      </c>
      <c r="E97" s="1" t="s">
        <v>198</v>
      </c>
      <c r="F97" s="10">
        <f t="shared" ca="1" si="45"/>
        <v>3881</v>
      </c>
      <c r="G97" s="1" t="s">
        <v>232</v>
      </c>
      <c r="H97" s="1">
        <v>1174</v>
      </c>
      <c r="I97" s="10">
        <f>Дума_партии[[#This Row],[Число избирателей, внесенных в список избирателей на момент окончания голосования]]</f>
        <v>1174</v>
      </c>
      <c r="J97" s="1">
        <v>1100</v>
      </c>
      <c r="K97" s="1">
        <v>0</v>
      </c>
      <c r="L97" s="1">
        <v>383</v>
      </c>
      <c r="M97" s="1">
        <v>57</v>
      </c>
      <c r="N97" s="3">
        <f t="shared" si="46"/>
        <v>37.478705281090292</v>
      </c>
      <c r="O97" s="3">
        <f t="shared" si="47"/>
        <v>4.8551959114139693</v>
      </c>
      <c r="P97" s="1">
        <v>660</v>
      </c>
      <c r="Q97" s="1">
        <v>57</v>
      </c>
      <c r="R97" s="1">
        <v>383</v>
      </c>
      <c r="S97" s="1">
        <f t="shared" si="48"/>
        <v>440</v>
      </c>
      <c r="T97" s="3">
        <f t="shared" si="49"/>
        <v>12.954545454545455</v>
      </c>
      <c r="U97" s="1">
        <v>14</v>
      </c>
      <c r="V97" s="3">
        <f t="shared" si="50"/>
        <v>3.1818181818181817</v>
      </c>
      <c r="W97" s="1">
        <v>426</v>
      </c>
      <c r="X97" s="1">
        <v>0</v>
      </c>
      <c r="Y97" s="1">
        <v>0</v>
      </c>
      <c r="Z97" s="1">
        <v>132</v>
      </c>
      <c r="AA97" s="3">
        <f t="shared" si="51"/>
        <v>30</v>
      </c>
      <c r="AB97" s="1">
        <v>3</v>
      </c>
      <c r="AC97" s="3">
        <f t="shared" si="52"/>
        <v>0.68181818181818177</v>
      </c>
      <c r="AD97" s="1">
        <v>52</v>
      </c>
      <c r="AE97" s="3">
        <f t="shared" si="53"/>
        <v>11.818181818181818</v>
      </c>
      <c r="AF97" s="1">
        <v>28</v>
      </c>
      <c r="AG97" s="3">
        <f t="shared" si="54"/>
        <v>6.3636363636363633</v>
      </c>
      <c r="AH97" s="1">
        <v>138</v>
      </c>
      <c r="AI97" s="3">
        <f t="shared" si="55"/>
        <v>31.363636363636363</v>
      </c>
      <c r="AJ97" s="1">
        <v>32</v>
      </c>
      <c r="AK97" s="3">
        <f t="shared" si="56"/>
        <v>7.2727272727272725</v>
      </c>
      <c r="AL97" s="1">
        <v>9</v>
      </c>
      <c r="AM97" s="3">
        <f t="shared" si="57"/>
        <v>2.0454545454545454</v>
      </c>
      <c r="AN97" s="1">
        <v>3</v>
      </c>
      <c r="AO97" s="3">
        <f t="shared" si="58"/>
        <v>0.68181818181818177</v>
      </c>
      <c r="AP97" s="1">
        <v>4</v>
      </c>
      <c r="AQ97" s="3">
        <f t="shared" si="59"/>
        <v>0.90909090909090906</v>
      </c>
      <c r="AR97" s="1">
        <v>7</v>
      </c>
      <c r="AS97" s="3">
        <f t="shared" si="60"/>
        <v>1.5909090909090908</v>
      </c>
      <c r="AT97" s="1">
        <v>2</v>
      </c>
      <c r="AU97" s="3">
        <f t="shared" si="61"/>
        <v>0.45454545454545453</v>
      </c>
      <c r="AV97" s="1">
        <v>4</v>
      </c>
      <c r="AW97" s="3">
        <f t="shared" si="62"/>
        <v>0.90909090909090906</v>
      </c>
      <c r="AX97" s="1">
        <v>2</v>
      </c>
      <c r="AY97" s="3">
        <f t="shared" si="63"/>
        <v>0.45454545454545453</v>
      </c>
      <c r="AZ97" s="1">
        <v>10</v>
      </c>
      <c r="BA97" s="3">
        <f t="shared" si="64"/>
        <v>2.2727272727272729</v>
      </c>
      <c r="BB97" t="s">
        <v>209</v>
      </c>
      <c r="BD97"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-10.363636363636402</v>
      </c>
      <c r="BE97" s="13">
        <f>2*(Дума_партии[[#This Row],[5. Всероссийская политическая партия "ЕДИНАЯ РОССИЯ"]]-(AB$124/100)*Дума_партии[[#This Row],[Число действительных избирательных бюллетеней]])</f>
        <v>-13.680000000000007</v>
      </c>
      <c r="BF97" s="13">
        <f>(Дума_партии[[#This Row],[Вброс]]+Дума_партии[[#This Row],[Перекладывание]])/2</f>
        <v>-12.021818181818205</v>
      </c>
      <c r="BG97" s="13">
        <v>0</v>
      </c>
    </row>
    <row r="98" spans="1:59" x14ac:dyDescent="0.4">
      <c r="A98" s="1" t="s">
        <v>49</v>
      </c>
      <c r="B98" s="1" t="s">
        <v>50</v>
      </c>
      <c r="C98" s="1" t="s">
        <v>51</v>
      </c>
      <c r="D98" s="1" t="s">
        <v>102</v>
      </c>
      <c r="E98" s="1" t="s">
        <v>199</v>
      </c>
      <c r="F98" s="10">
        <f t="shared" ca="1" si="45"/>
        <v>3882</v>
      </c>
      <c r="G98" s="1" t="s">
        <v>235</v>
      </c>
      <c r="H98" s="1">
        <v>3388</v>
      </c>
      <c r="I98" s="10">
        <f>Дума_партии[[#This Row],[Число избирателей, внесенных в список избирателей на момент окончания голосования]]</f>
        <v>3388</v>
      </c>
      <c r="J98" s="1">
        <v>3000</v>
      </c>
      <c r="K98" s="1">
        <v>0</v>
      </c>
      <c r="L98" s="1">
        <v>1615</v>
      </c>
      <c r="M98" s="1">
        <v>0</v>
      </c>
      <c r="N98" s="3">
        <f t="shared" si="46"/>
        <v>47.668240850059028</v>
      </c>
      <c r="O98" s="3">
        <f t="shared" si="47"/>
        <v>0</v>
      </c>
      <c r="P98" s="1">
        <v>1385</v>
      </c>
      <c r="Q98" s="1">
        <v>0</v>
      </c>
      <c r="R98" s="1">
        <v>1615</v>
      </c>
      <c r="S98" s="1">
        <f t="shared" si="48"/>
        <v>1615</v>
      </c>
      <c r="T98" s="3">
        <f t="shared" si="49"/>
        <v>0</v>
      </c>
      <c r="U98" s="1">
        <v>49</v>
      </c>
      <c r="V98" s="3">
        <f t="shared" si="50"/>
        <v>3.0340557275541795</v>
      </c>
      <c r="W98" s="1">
        <v>1566</v>
      </c>
      <c r="X98" s="1">
        <v>0</v>
      </c>
      <c r="Y98" s="1">
        <v>0</v>
      </c>
      <c r="Z98" s="1">
        <v>182</v>
      </c>
      <c r="AA98" s="3">
        <f t="shared" si="51"/>
        <v>11.269349845201239</v>
      </c>
      <c r="AB98" s="1">
        <v>20</v>
      </c>
      <c r="AC98" s="3">
        <f t="shared" si="52"/>
        <v>1.2383900928792571</v>
      </c>
      <c r="AD98" s="1">
        <v>220</v>
      </c>
      <c r="AE98" s="3">
        <f t="shared" si="53"/>
        <v>13.622291021671826</v>
      </c>
      <c r="AF98" s="1">
        <v>78</v>
      </c>
      <c r="AG98" s="3">
        <f t="shared" si="54"/>
        <v>4.829721362229102</v>
      </c>
      <c r="AH98" s="1">
        <v>877</v>
      </c>
      <c r="AI98" s="3">
        <f t="shared" si="55"/>
        <v>54.303405572755416</v>
      </c>
      <c r="AJ98" s="1">
        <v>49</v>
      </c>
      <c r="AK98" s="3">
        <f t="shared" si="56"/>
        <v>3.0340557275541795</v>
      </c>
      <c r="AL98" s="1">
        <v>54</v>
      </c>
      <c r="AM98" s="3">
        <f t="shared" si="57"/>
        <v>3.3436532507739938</v>
      </c>
      <c r="AN98" s="1">
        <v>6</v>
      </c>
      <c r="AO98" s="3">
        <f t="shared" si="58"/>
        <v>0.37151702786377711</v>
      </c>
      <c r="AP98" s="1">
        <v>11</v>
      </c>
      <c r="AQ98" s="3">
        <f t="shared" si="59"/>
        <v>0.68111455108359131</v>
      </c>
      <c r="AR98" s="1">
        <v>15</v>
      </c>
      <c r="AS98" s="3">
        <f t="shared" si="60"/>
        <v>0.92879256965944268</v>
      </c>
      <c r="AT98" s="1">
        <v>5</v>
      </c>
      <c r="AU98" s="3">
        <f t="shared" si="61"/>
        <v>0.30959752321981426</v>
      </c>
      <c r="AV98" s="1">
        <v>12</v>
      </c>
      <c r="AW98" s="3">
        <f t="shared" si="62"/>
        <v>0.74303405572755421</v>
      </c>
      <c r="AX98" s="1">
        <v>20</v>
      </c>
      <c r="AY98" s="3">
        <f t="shared" si="63"/>
        <v>1.2383900928792571</v>
      </c>
      <c r="AZ98" s="1">
        <v>17</v>
      </c>
      <c r="BA98" s="3">
        <f t="shared" si="64"/>
        <v>1.0526315789473684</v>
      </c>
      <c r="BB98" t="s">
        <v>209</v>
      </c>
      <c r="BD98"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522.06060606060601</v>
      </c>
      <c r="BE98" s="13">
        <f>2*(Дума_партии[[#This Row],[5. Всероссийская политическая партия "ЕДИНАЯ РОССИЯ"]]-(AB$124/100)*Дума_партии[[#This Row],[Число действительных избирательных бюллетеней]])</f>
        <v>689.11999999999989</v>
      </c>
      <c r="BF98" s="13">
        <f>(Дума_партии[[#This Row],[Вброс]]+Дума_партии[[#This Row],[Перекладывание]])/2</f>
        <v>605.59030303030295</v>
      </c>
      <c r="BG98" s="13" t="s">
        <v>255</v>
      </c>
    </row>
    <row r="99" spans="1:59" x14ac:dyDescent="0.4">
      <c r="A99" s="1" t="s">
        <v>49</v>
      </c>
      <c r="B99" s="1" t="s">
        <v>50</v>
      </c>
      <c r="C99" s="1" t="s">
        <v>51</v>
      </c>
      <c r="D99" s="1" t="s">
        <v>102</v>
      </c>
      <c r="E99" s="1" t="s">
        <v>200</v>
      </c>
      <c r="F99" s="10">
        <f t="shared" ca="1" si="45"/>
        <v>3883</v>
      </c>
      <c r="G99" s="1" t="s">
        <v>235</v>
      </c>
      <c r="H99" s="1">
        <v>2119</v>
      </c>
      <c r="I99" s="10">
        <f>Дума_партии[[#This Row],[Число избирателей, внесенных в список избирателей на момент окончания голосования]]</f>
        <v>2119</v>
      </c>
      <c r="J99" s="1">
        <v>1800</v>
      </c>
      <c r="K99" s="1">
        <v>0</v>
      </c>
      <c r="L99" s="1">
        <v>1362</v>
      </c>
      <c r="M99" s="1">
        <v>14</v>
      </c>
      <c r="N99" s="3">
        <f t="shared" si="46"/>
        <v>64.936290703161873</v>
      </c>
      <c r="O99" s="3">
        <f t="shared" si="47"/>
        <v>0.66068900424728649</v>
      </c>
      <c r="P99" s="1">
        <v>424</v>
      </c>
      <c r="Q99" s="1">
        <v>14</v>
      </c>
      <c r="R99" s="1">
        <v>1362</v>
      </c>
      <c r="S99" s="1">
        <f t="shared" si="48"/>
        <v>1376</v>
      </c>
      <c r="T99" s="3">
        <f t="shared" si="49"/>
        <v>1.0174418604651163</v>
      </c>
      <c r="U99" s="1">
        <v>102</v>
      </c>
      <c r="V99" s="3">
        <f t="shared" si="50"/>
        <v>7.4127906976744189</v>
      </c>
      <c r="W99" s="1">
        <v>1274</v>
      </c>
      <c r="X99" s="1">
        <v>0</v>
      </c>
      <c r="Y99" s="1">
        <v>0</v>
      </c>
      <c r="Z99" s="1">
        <v>215</v>
      </c>
      <c r="AA99" s="3">
        <f t="shared" si="51"/>
        <v>15.625</v>
      </c>
      <c r="AB99" s="1">
        <v>20</v>
      </c>
      <c r="AC99" s="3">
        <f t="shared" si="52"/>
        <v>1.4534883720930232</v>
      </c>
      <c r="AD99" s="1">
        <v>170</v>
      </c>
      <c r="AE99" s="3">
        <f t="shared" si="53"/>
        <v>12.354651162790697</v>
      </c>
      <c r="AF99" s="1">
        <v>73</v>
      </c>
      <c r="AG99" s="3">
        <f t="shared" si="54"/>
        <v>5.3052325581395348</v>
      </c>
      <c r="AH99" s="1">
        <v>597</v>
      </c>
      <c r="AI99" s="3">
        <f t="shared" si="55"/>
        <v>43.386627906976742</v>
      </c>
      <c r="AJ99" s="1">
        <v>85</v>
      </c>
      <c r="AK99" s="3">
        <f t="shared" si="56"/>
        <v>6.1773255813953485</v>
      </c>
      <c r="AL99" s="1">
        <v>40</v>
      </c>
      <c r="AM99" s="3">
        <f t="shared" si="57"/>
        <v>2.9069767441860463</v>
      </c>
      <c r="AN99" s="1">
        <v>0</v>
      </c>
      <c r="AO99" s="3">
        <f t="shared" si="58"/>
        <v>0</v>
      </c>
      <c r="AP99" s="1">
        <v>10</v>
      </c>
      <c r="AQ99" s="3">
        <f t="shared" si="59"/>
        <v>0.72674418604651159</v>
      </c>
      <c r="AR99" s="1">
        <v>13</v>
      </c>
      <c r="AS99" s="3">
        <f t="shared" si="60"/>
        <v>0.94476744186046513</v>
      </c>
      <c r="AT99" s="1">
        <v>1</v>
      </c>
      <c r="AU99" s="3">
        <f t="shared" si="61"/>
        <v>7.2674418604651167E-2</v>
      </c>
      <c r="AV99" s="1">
        <v>13</v>
      </c>
      <c r="AW99" s="3">
        <f t="shared" si="62"/>
        <v>0.94476744186046513</v>
      </c>
      <c r="AX99" s="1">
        <v>12</v>
      </c>
      <c r="AY99" s="3">
        <f t="shared" si="63"/>
        <v>0.87209302325581395</v>
      </c>
      <c r="AZ99" s="1">
        <v>25</v>
      </c>
      <c r="BA99" s="3">
        <f t="shared" si="64"/>
        <v>1.816860465116279</v>
      </c>
      <c r="BB99" t="s">
        <v>209</v>
      </c>
      <c r="BD99"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248.24242424242419</v>
      </c>
      <c r="BE99" s="13">
        <f>2*(Дума_партии[[#This Row],[5. Всероссийская политическая партия "ЕДИНАЯ РОССИЯ"]]-(AB$124/100)*Дума_партии[[#This Row],[Число действительных избирательных бюллетеней]])</f>
        <v>327.67999999999995</v>
      </c>
      <c r="BF99" s="13">
        <f>(Дума_партии[[#This Row],[Вброс]]+Дума_партии[[#This Row],[Перекладывание]])/2</f>
        <v>287.96121212121204</v>
      </c>
      <c r="BG99" s="13" t="s">
        <v>255</v>
      </c>
    </row>
    <row r="100" spans="1:59" x14ac:dyDescent="0.4">
      <c r="A100" s="1" t="s">
        <v>49</v>
      </c>
      <c r="B100" s="1" t="s">
        <v>50</v>
      </c>
      <c r="C100" s="1" t="s">
        <v>51</v>
      </c>
      <c r="D100" s="1" t="s">
        <v>102</v>
      </c>
      <c r="E100" s="1" t="s">
        <v>201</v>
      </c>
      <c r="F100" s="10">
        <f t="shared" ca="1" si="45"/>
        <v>3884</v>
      </c>
      <c r="G100" s="1" t="s">
        <v>235</v>
      </c>
      <c r="H100" s="1">
        <v>2020</v>
      </c>
      <c r="I100" s="10">
        <f>Дума_партии[[#This Row],[Число избирателей, внесенных в список избирателей на момент окончания голосования]]</f>
        <v>2020</v>
      </c>
      <c r="J100" s="1">
        <v>1500</v>
      </c>
      <c r="K100" s="1">
        <v>0</v>
      </c>
      <c r="L100" s="1">
        <v>1154</v>
      </c>
      <c r="M100" s="1">
        <v>0</v>
      </c>
      <c r="N100" s="3">
        <f t="shared" si="46"/>
        <v>57.128712871287128</v>
      </c>
      <c r="O100" s="3">
        <f t="shared" si="47"/>
        <v>0</v>
      </c>
      <c r="P100" s="1">
        <v>346</v>
      </c>
      <c r="Q100" s="1">
        <v>0</v>
      </c>
      <c r="R100" s="1">
        <v>1154</v>
      </c>
      <c r="S100" s="1">
        <f t="shared" si="48"/>
        <v>1154</v>
      </c>
      <c r="T100" s="3">
        <f t="shared" si="49"/>
        <v>0</v>
      </c>
      <c r="U100" s="1">
        <v>9</v>
      </c>
      <c r="V100" s="3">
        <f t="shared" si="50"/>
        <v>0.77989601386481799</v>
      </c>
      <c r="W100" s="1">
        <v>1145</v>
      </c>
      <c r="X100" s="1">
        <v>0</v>
      </c>
      <c r="Y100" s="1">
        <v>0</v>
      </c>
      <c r="Z100" s="1">
        <v>120</v>
      </c>
      <c r="AA100" s="3">
        <f t="shared" si="51"/>
        <v>10.398613518197573</v>
      </c>
      <c r="AB100" s="1">
        <v>6</v>
      </c>
      <c r="AC100" s="3">
        <f t="shared" si="52"/>
        <v>0.51993067590987874</v>
      </c>
      <c r="AD100" s="1">
        <v>96</v>
      </c>
      <c r="AE100" s="3">
        <f t="shared" si="53"/>
        <v>8.3188908145580598</v>
      </c>
      <c r="AF100" s="1">
        <v>35</v>
      </c>
      <c r="AG100" s="3">
        <f t="shared" si="54"/>
        <v>3.0329289428076258</v>
      </c>
      <c r="AH100" s="1">
        <v>787</v>
      </c>
      <c r="AI100" s="3">
        <f t="shared" si="55"/>
        <v>68.197573656845748</v>
      </c>
      <c r="AJ100" s="1">
        <v>35</v>
      </c>
      <c r="AK100" s="3">
        <f t="shared" si="56"/>
        <v>3.0329289428076258</v>
      </c>
      <c r="AL100" s="1">
        <v>16</v>
      </c>
      <c r="AM100" s="3">
        <f t="shared" si="57"/>
        <v>1.3864818024263432</v>
      </c>
      <c r="AN100" s="1">
        <v>2</v>
      </c>
      <c r="AO100" s="3">
        <f t="shared" si="58"/>
        <v>0.1733102253032929</v>
      </c>
      <c r="AP100" s="1">
        <v>5</v>
      </c>
      <c r="AQ100" s="3">
        <f t="shared" si="59"/>
        <v>0.43327556325823224</v>
      </c>
      <c r="AR100" s="1">
        <v>6</v>
      </c>
      <c r="AS100" s="3">
        <f t="shared" si="60"/>
        <v>0.51993067590987874</v>
      </c>
      <c r="AT100" s="1">
        <v>2</v>
      </c>
      <c r="AU100" s="3">
        <f t="shared" si="61"/>
        <v>0.1733102253032929</v>
      </c>
      <c r="AV100" s="1">
        <v>4</v>
      </c>
      <c r="AW100" s="3">
        <f t="shared" si="62"/>
        <v>0.34662045060658581</v>
      </c>
      <c r="AX100" s="1">
        <v>7</v>
      </c>
      <c r="AY100" s="3">
        <f t="shared" si="63"/>
        <v>0.60658578856152512</v>
      </c>
      <c r="AZ100" s="1">
        <v>24</v>
      </c>
      <c r="BA100" s="3">
        <f t="shared" si="64"/>
        <v>2.0797227036395149</v>
      </c>
      <c r="BB100" t="s">
        <v>209</v>
      </c>
      <c r="BD100"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602.57575757575751</v>
      </c>
      <c r="BE100" s="13">
        <f>2*(Дума_партии[[#This Row],[5. Всероссийская политическая партия "ЕДИНАЯ РОССИЯ"]]-(AB$124/100)*Дума_партии[[#This Row],[Число действительных избирательных бюллетеней]])</f>
        <v>795.4</v>
      </c>
      <c r="BF100" s="13">
        <f>(Дума_партии[[#This Row],[Вброс]]+Дума_партии[[#This Row],[Перекладывание]])/2</f>
        <v>698.9878787878788</v>
      </c>
      <c r="BG100" s="13" t="s">
        <v>255</v>
      </c>
    </row>
    <row r="101" spans="1:59" x14ac:dyDescent="0.4">
      <c r="A101" s="1" t="s">
        <v>49</v>
      </c>
      <c r="B101" s="1" t="s">
        <v>50</v>
      </c>
      <c r="C101" s="1" t="s">
        <v>51</v>
      </c>
      <c r="D101" s="1" t="s">
        <v>102</v>
      </c>
      <c r="E101" s="1" t="s">
        <v>202</v>
      </c>
      <c r="F101" s="10">
        <f t="shared" ca="1" si="45"/>
        <v>3885</v>
      </c>
      <c r="G101" s="1" t="s">
        <v>237</v>
      </c>
      <c r="H101" s="1">
        <v>1161</v>
      </c>
      <c r="I101" s="10">
        <f>Дума_партии[[#This Row],[Число избирателей, внесенных в список избирателей на момент окончания голосования]]</f>
        <v>1161</v>
      </c>
      <c r="J101" s="1">
        <v>1100</v>
      </c>
      <c r="K101" s="1">
        <v>0</v>
      </c>
      <c r="L101" s="1">
        <v>460</v>
      </c>
      <c r="M101" s="1">
        <v>10</v>
      </c>
      <c r="N101" s="3">
        <f t="shared" si="46"/>
        <v>40.482342807924205</v>
      </c>
      <c r="O101" s="3">
        <f t="shared" si="47"/>
        <v>0.8613264427217916</v>
      </c>
      <c r="P101" s="1">
        <v>630</v>
      </c>
      <c r="Q101" s="1">
        <v>10</v>
      </c>
      <c r="R101" s="1">
        <v>460</v>
      </c>
      <c r="S101" s="1">
        <f t="shared" si="48"/>
        <v>470</v>
      </c>
      <c r="T101" s="3">
        <f t="shared" si="49"/>
        <v>2.1276595744680851</v>
      </c>
      <c r="U101" s="1">
        <v>11</v>
      </c>
      <c r="V101" s="3">
        <f t="shared" si="50"/>
        <v>2.3404255319148937</v>
      </c>
      <c r="W101" s="1">
        <v>459</v>
      </c>
      <c r="X101" s="1">
        <v>0</v>
      </c>
      <c r="Y101" s="1">
        <v>0</v>
      </c>
      <c r="Z101" s="1">
        <v>127</v>
      </c>
      <c r="AA101" s="3">
        <f t="shared" si="51"/>
        <v>27.021276595744681</v>
      </c>
      <c r="AB101" s="1">
        <v>8</v>
      </c>
      <c r="AC101" s="3">
        <f t="shared" si="52"/>
        <v>1.7021276595744681</v>
      </c>
      <c r="AD101" s="1">
        <v>34</v>
      </c>
      <c r="AE101" s="3">
        <f t="shared" si="53"/>
        <v>7.2340425531914896</v>
      </c>
      <c r="AF101" s="1">
        <v>34</v>
      </c>
      <c r="AG101" s="3">
        <f t="shared" si="54"/>
        <v>7.2340425531914896</v>
      </c>
      <c r="AH101" s="1">
        <v>152</v>
      </c>
      <c r="AI101" s="3">
        <f t="shared" si="55"/>
        <v>32.340425531914896</v>
      </c>
      <c r="AJ101" s="1">
        <v>33</v>
      </c>
      <c r="AK101" s="3">
        <f t="shared" si="56"/>
        <v>7.0212765957446805</v>
      </c>
      <c r="AL101" s="1">
        <v>17</v>
      </c>
      <c r="AM101" s="3">
        <f t="shared" si="57"/>
        <v>3.6170212765957448</v>
      </c>
      <c r="AN101" s="1">
        <v>3</v>
      </c>
      <c r="AO101" s="3">
        <f t="shared" si="58"/>
        <v>0.63829787234042556</v>
      </c>
      <c r="AP101" s="1">
        <v>8</v>
      </c>
      <c r="AQ101" s="3">
        <f t="shared" si="59"/>
        <v>1.7021276595744681</v>
      </c>
      <c r="AR101" s="1">
        <v>6</v>
      </c>
      <c r="AS101" s="3">
        <f t="shared" si="60"/>
        <v>1.2765957446808511</v>
      </c>
      <c r="AT101" s="1">
        <v>0</v>
      </c>
      <c r="AU101" s="3">
        <f t="shared" si="61"/>
        <v>0</v>
      </c>
      <c r="AV101" s="1">
        <v>4</v>
      </c>
      <c r="AW101" s="3">
        <f t="shared" si="62"/>
        <v>0.85106382978723405</v>
      </c>
      <c r="AX101" s="1">
        <v>10</v>
      </c>
      <c r="AY101" s="3">
        <f t="shared" si="63"/>
        <v>2.1276595744680851</v>
      </c>
      <c r="AZ101" s="1">
        <v>23</v>
      </c>
      <c r="BA101" s="3">
        <f t="shared" si="64"/>
        <v>4.8936170212765955</v>
      </c>
      <c r="BB101" t="s">
        <v>209</v>
      </c>
      <c r="BD101"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-6.1515151515151842</v>
      </c>
      <c r="BE101" s="13">
        <f>2*(Дума_партии[[#This Row],[5. Всероссийская политическая партия "ЕДИНАЯ РОССИЯ"]]-(AB$124/100)*Дума_партии[[#This Row],[Число действительных избирательных бюллетеней]])</f>
        <v>-8.1200000000000045</v>
      </c>
      <c r="BF101" s="13">
        <f>(Дума_партии[[#This Row],[Вброс]]+Дума_партии[[#This Row],[Перекладывание]])/2</f>
        <v>-7.1357575757575944</v>
      </c>
      <c r="BG101" s="13" t="s">
        <v>255</v>
      </c>
    </row>
    <row r="102" spans="1:59" x14ac:dyDescent="0.4">
      <c r="A102" s="1" t="s">
        <v>49</v>
      </c>
      <c r="B102" s="1" t="s">
        <v>50</v>
      </c>
      <c r="C102" s="1" t="s">
        <v>51</v>
      </c>
      <c r="D102" s="1" t="s">
        <v>102</v>
      </c>
      <c r="E102" s="1" t="s">
        <v>203</v>
      </c>
      <c r="F102" s="10">
        <f t="shared" ca="1" si="45"/>
        <v>4243</v>
      </c>
      <c r="G102" t="s">
        <v>251</v>
      </c>
      <c r="H102" s="1">
        <v>216</v>
      </c>
      <c r="I102" s="10">
        <f>Дума_партии[[#This Row],[Число избирателей, внесенных в список избирателей на момент окончания голосования]]</f>
        <v>216</v>
      </c>
      <c r="J102" s="1">
        <v>230</v>
      </c>
      <c r="K102" s="1">
        <v>0</v>
      </c>
      <c r="L102" s="1">
        <v>216</v>
      </c>
      <c r="M102" s="1">
        <v>0</v>
      </c>
      <c r="N102" s="3">
        <f t="shared" si="46"/>
        <v>100</v>
      </c>
      <c r="O102" s="3">
        <f t="shared" si="47"/>
        <v>0</v>
      </c>
      <c r="P102" s="1">
        <v>14</v>
      </c>
      <c r="Q102" s="1">
        <v>0</v>
      </c>
      <c r="R102" s="1">
        <v>216</v>
      </c>
      <c r="S102" s="1">
        <f t="shared" si="48"/>
        <v>216</v>
      </c>
      <c r="T102" s="3">
        <f t="shared" si="49"/>
        <v>0</v>
      </c>
      <c r="U102" s="1">
        <v>0</v>
      </c>
      <c r="V102" s="3">
        <f t="shared" si="50"/>
        <v>0</v>
      </c>
      <c r="W102" s="1">
        <v>216</v>
      </c>
      <c r="X102" s="1">
        <v>0</v>
      </c>
      <c r="Y102" s="1">
        <v>0</v>
      </c>
      <c r="Z102" s="1">
        <v>7</v>
      </c>
      <c r="AA102" s="3">
        <f t="shared" si="51"/>
        <v>3.2407407407407409</v>
      </c>
      <c r="AB102" s="1">
        <v>0</v>
      </c>
      <c r="AC102" s="3">
        <f t="shared" si="52"/>
        <v>0</v>
      </c>
      <c r="AD102" s="1">
        <v>9</v>
      </c>
      <c r="AE102" s="3">
        <f t="shared" si="53"/>
        <v>4.166666666666667</v>
      </c>
      <c r="AF102" s="1">
        <v>4</v>
      </c>
      <c r="AG102" s="3">
        <f t="shared" si="54"/>
        <v>1.8518518518518519</v>
      </c>
      <c r="AH102" s="1">
        <v>195</v>
      </c>
      <c r="AI102" s="3">
        <f t="shared" si="55"/>
        <v>90.277777777777771</v>
      </c>
      <c r="AJ102" s="1">
        <v>0</v>
      </c>
      <c r="AK102" s="3">
        <f t="shared" si="56"/>
        <v>0</v>
      </c>
      <c r="AL102" s="1">
        <v>0</v>
      </c>
      <c r="AM102" s="3">
        <f t="shared" si="57"/>
        <v>0</v>
      </c>
      <c r="AN102" s="1">
        <v>0</v>
      </c>
      <c r="AO102" s="3">
        <f t="shared" si="58"/>
        <v>0</v>
      </c>
      <c r="AP102" s="1">
        <v>0</v>
      </c>
      <c r="AQ102" s="3">
        <f t="shared" si="59"/>
        <v>0</v>
      </c>
      <c r="AR102" s="1">
        <v>0</v>
      </c>
      <c r="AS102" s="3">
        <f t="shared" si="60"/>
        <v>0</v>
      </c>
      <c r="AT102" s="1">
        <v>0</v>
      </c>
      <c r="AU102" s="3">
        <f t="shared" si="61"/>
        <v>0</v>
      </c>
      <c r="AV102" s="1">
        <v>0</v>
      </c>
      <c r="AW102" s="3">
        <f t="shared" si="62"/>
        <v>0</v>
      </c>
      <c r="AX102" s="1">
        <v>0</v>
      </c>
      <c r="AY102" s="3">
        <f t="shared" si="63"/>
        <v>0</v>
      </c>
      <c r="AZ102" s="1">
        <v>1</v>
      </c>
      <c r="BA102" s="3">
        <f t="shared" si="64"/>
        <v>0.46296296296296297</v>
      </c>
      <c r="BB102" t="s">
        <v>209</v>
      </c>
      <c r="BD102"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184.18181818181819</v>
      </c>
      <c r="BE102" s="13">
        <f>2*(Дума_партии[[#This Row],[5. Всероссийская политическая партия "ЕДИНАЯ РОССИЯ"]]-(AB$124/100)*Дума_партии[[#This Row],[Число действительных избирательных бюллетеней]])</f>
        <v>243.11999999999998</v>
      </c>
      <c r="BF102" s="13">
        <f>(Дума_партии[[#This Row],[Вброс]]+Дума_партии[[#This Row],[Перекладывание]])/2</f>
        <v>213.65090909090907</v>
      </c>
      <c r="BG102" s="13">
        <v>0</v>
      </c>
    </row>
    <row r="103" spans="1:59" x14ac:dyDescent="0.4">
      <c r="A103" s="1" t="s">
        <v>49</v>
      </c>
      <c r="B103" s="1" t="s">
        <v>50</v>
      </c>
      <c r="C103" s="1" t="s">
        <v>51</v>
      </c>
      <c r="D103" s="1" t="s">
        <v>102</v>
      </c>
      <c r="E103" s="1" t="s">
        <v>204</v>
      </c>
      <c r="F103" s="10">
        <f t="shared" ca="1" si="45"/>
        <v>4250</v>
      </c>
      <c r="G103" t="s">
        <v>252</v>
      </c>
      <c r="H103" s="1">
        <v>194</v>
      </c>
      <c r="I103" s="10">
        <f>Дума_партии[[#This Row],[Число избирателей, внесенных в список избирателей на момент окончания голосования]]</f>
        <v>194</v>
      </c>
      <c r="J103" s="1">
        <v>270</v>
      </c>
      <c r="K103" s="1">
        <v>0</v>
      </c>
      <c r="L103" s="1">
        <v>178</v>
      </c>
      <c r="M103" s="1">
        <v>0</v>
      </c>
      <c r="N103" s="3">
        <f t="shared" si="46"/>
        <v>91.75257731958763</v>
      </c>
      <c r="O103" s="3">
        <f t="shared" si="47"/>
        <v>0</v>
      </c>
      <c r="P103" s="1">
        <v>92</v>
      </c>
      <c r="Q103" s="1">
        <v>0</v>
      </c>
      <c r="R103" s="1">
        <v>178</v>
      </c>
      <c r="S103" s="1">
        <f t="shared" si="48"/>
        <v>178</v>
      </c>
      <c r="T103" s="3">
        <f t="shared" si="49"/>
        <v>0</v>
      </c>
      <c r="U103" s="1">
        <v>25</v>
      </c>
      <c r="V103" s="3">
        <f t="shared" si="50"/>
        <v>14.044943820224718</v>
      </c>
      <c r="W103" s="1">
        <v>153</v>
      </c>
      <c r="X103" s="1">
        <v>0</v>
      </c>
      <c r="Y103" s="1">
        <v>0</v>
      </c>
      <c r="Z103" s="1">
        <v>3</v>
      </c>
      <c r="AA103" s="3">
        <f t="shared" si="51"/>
        <v>1.6853932584269662</v>
      </c>
      <c r="AB103" s="1">
        <v>1</v>
      </c>
      <c r="AC103" s="3">
        <f t="shared" si="52"/>
        <v>0.5617977528089888</v>
      </c>
      <c r="AD103" s="1">
        <v>4</v>
      </c>
      <c r="AE103" s="3">
        <f t="shared" si="53"/>
        <v>2.2471910112359552</v>
      </c>
      <c r="AF103" s="1">
        <v>3</v>
      </c>
      <c r="AG103" s="3">
        <f t="shared" si="54"/>
        <v>1.6853932584269662</v>
      </c>
      <c r="AH103" s="1">
        <v>136</v>
      </c>
      <c r="AI103" s="3">
        <f t="shared" si="55"/>
        <v>76.404494382022477</v>
      </c>
      <c r="AJ103" s="1">
        <v>2</v>
      </c>
      <c r="AK103" s="3">
        <f t="shared" si="56"/>
        <v>1.1235955056179776</v>
      </c>
      <c r="AL103" s="1">
        <v>1</v>
      </c>
      <c r="AM103" s="3">
        <f t="shared" si="57"/>
        <v>0.5617977528089888</v>
      </c>
      <c r="AN103" s="1">
        <v>0</v>
      </c>
      <c r="AO103" s="3">
        <f t="shared" si="58"/>
        <v>0</v>
      </c>
      <c r="AP103" s="1">
        <v>0</v>
      </c>
      <c r="AQ103" s="3">
        <f t="shared" si="59"/>
        <v>0</v>
      </c>
      <c r="AR103" s="1">
        <v>1</v>
      </c>
      <c r="AS103" s="3">
        <f t="shared" si="60"/>
        <v>0.5617977528089888</v>
      </c>
      <c r="AT103" s="1">
        <v>0</v>
      </c>
      <c r="AU103" s="3">
        <f t="shared" si="61"/>
        <v>0</v>
      </c>
      <c r="AV103" s="1">
        <v>0</v>
      </c>
      <c r="AW103" s="3">
        <f t="shared" si="62"/>
        <v>0</v>
      </c>
      <c r="AX103" s="1">
        <v>0</v>
      </c>
      <c r="AY103" s="3">
        <f t="shared" si="63"/>
        <v>0</v>
      </c>
      <c r="AZ103" s="1">
        <v>2</v>
      </c>
      <c r="BA103" s="3">
        <f t="shared" si="64"/>
        <v>1.1235955056179776</v>
      </c>
      <c r="BB103" t="s">
        <v>209</v>
      </c>
      <c r="BD103"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127.24242424242424</v>
      </c>
      <c r="BE103" s="13">
        <f>2*(Дума_партии[[#This Row],[5. Всероссийская политическая партия "ЕДИНАЯ РОССИЯ"]]-(AB$124/100)*Дума_партии[[#This Row],[Число действительных избирательных бюллетеней]])</f>
        <v>167.95999999999998</v>
      </c>
      <c r="BF103" s="13">
        <f>(Дума_партии[[#This Row],[Вброс]]+Дума_партии[[#This Row],[Перекладывание]])/2</f>
        <v>147.60121212121211</v>
      </c>
      <c r="BG103" s="13">
        <v>0</v>
      </c>
    </row>
    <row r="104" spans="1:59" x14ac:dyDescent="0.4">
      <c r="A104" s="1" t="s">
        <v>49</v>
      </c>
      <c r="B104" s="1" t="s">
        <v>50</v>
      </c>
      <c r="C104" s="1" t="s">
        <v>51</v>
      </c>
      <c r="D104" s="1" t="s">
        <v>102</v>
      </c>
      <c r="E104" s="1" t="s">
        <v>205</v>
      </c>
      <c r="F104" s="10">
        <f t="shared" ref="F104:F105" ca="1" si="65">SUMPRODUCT(MID(0&amp;E104, LARGE(INDEX(ISNUMBER(--MID(E104, ROW(INDIRECT("1:"&amp;LEN(E104))), 1)) * ROW(INDIRECT("1:"&amp;LEN(E104))), 0), ROW(INDIRECT("1:"&amp;LEN(E104))))+1, 1) * 10^ROW(INDIRECT("1:"&amp;LEN(E104)))/10)</f>
        <v>4251</v>
      </c>
      <c r="G104" t="s">
        <v>253</v>
      </c>
      <c r="H104" s="1">
        <v>204</v>
      </c>
      <c r="I104" s="10">
        <f>Дума_партии[[#This Row],[Число избирателей, внесенных в список избирателей на момент окончания голосования]]</f>
        <v>204</v>
      </c>
      <c r="J104" s="1">
        <v>210</v>
      </c>
      <c r="K104" s="1">
        <v>0</v>
      </c>
      <c r="L104" s="1">
        <v>147</v>
      </c>
      <c r="M104" s="1">
        <v>49</v>
      </c>
      <c r="N104" s="3">
        <f t="shared" ref="N104:N105" si="66">100*(L104+M104)/H104</f>
        <v>96.078431372549019</v>
      </c>
      <c r="O104" s="3">
        <f t="shared" si="47"/>
        <v>24.019607843137255</v>
      </c>
      <c r="P104" s="1">
        <v>14</v>
      </c>
      <c r="Q104" s="1">
        <v>49</v>
      </c>
      <c r="R104" s="1">
        <v>147</v>
      </c>
      <c r="S104" s="1">
        <f t="shared" ref="S104:S105" si="67">Q104+R104</f>
        <v>196</v>
      </c>
      <c r="T104" s="3">
        <f t="shared" ref="T104:T105" si="68">100*Q104/S104</f>
        <v>25</v>
      </c>
      <c r="U104" s="1">
        <v>5</v>
      </c>
      <c r="V104" s="3">
        <f t="shared" ref="V104:V105" si="69">100*U104/S104</f>
        <v>2.5510204081632653</v>
      </c>
      <c r="W104" s="1">
        <v>191</v>
      </c>
      <c r="X104" s="1">
        <v>0</v>
      </c>
      <c r="Y104" s="1">
        <v>0</v>
      </c>
      <c r="Z104" s="1">
        <v>19</v>
      </c>
      <c r="AA104" s="3">
        <f t="shared" ref="AA104:AA105" si="70">100*Z104/$S104</f>
        <v>9.6938775510204085</v>
      </c>
      <c r="AB104" s="1">
        <v>4</v>
      </c>
      <c r="AC104" s="3">
        <f t="shared" ref="AC104:AC105" si="71">100*AB104/$S104</f>
        <v>2.0408163265306123</v>
      </c>
      <c r="AD104" s="1">
        <v>18</v>
      </c>
      <c r="AE104" s="3">
        <f t="shared" ref="AE104:AE105" si="72">100*AD104/$S104</f>
        <v>9.183673469387756</v>
      </c>
      <c r="AF104" s="1">
        <v>8</v>
      </c>
      <c r="AG104" s="3">
        <f t="shared" ref="AG104:AG105" si="73">100*AF104/$S104</f>
        <v>4.0816326530612246</v>
      </c>
      <c r="AH104" s="1">
        <v>113</v>
      </c>
      <c r="AI104" s="3">
        <f t="shared" ref="AI104:AI105" si="74">100*AH104/$S104</f>
        <v>57.653061224489797</v>
      </c>
      <c r="AJ104" s="1">
        <v>7</v>
      </c>
      <c r="AK104" s="3">
        <f t="shared" ref="AK104:AK105" si="75">100*AJ104/$S104</f>
        <v>3.5714285714285716</v>
      </c>
      <c r="AL104" s="1">
        <v>4</v>
      </c>
      <c r="AM104" s="3">
        <f t="shared" ref="AM104:AM105" si="76">100*AL104/$S104</f>
        <v>2.0408163265306123</v>
      </c>
      <c r="AN104" s="1">
        <v>4</v>
      </c>
      <c r="AO104" s="3">
        <f t="shared" ref="AO104:AO105" si="77">100*AN104/$S104</f>
        <v>2.0408163265306123</v>
      </c>
      <c r="AP104" s="1">
        <v>2</v>
      </c>
      <c r="AQ104" s="3">
        <f t="shared" ref="AQ104:AQ105" si="78">100*AP104/$S104</f>
        <v>1.0204081632653061</v>
      </c>
      <c r="AR104" s="1">
        <v>4</v>
      </c>
      <c r="AS104" s="3">
        <f t="shared" ref="AS104:AS105" si="79">100*AR104/$S104</f>
        <v>2.0408163265306123</v>
      </c>
      <c r="AT104" s="1">
        <v>0</v>
      </c>
      <c r="AU104" s="3">
        <f t="shared" ref="AU104:AU105" si="80">100*AT104/$S104</f>
        <v>0</v>
      </c>
      <c r="AV104" s="1">
        <v>1</v>
      </c>
      <c r="AW104" s="3">
        <f t="shared" ref="AW104:AW105" si="81">100*AV104/$S104</f>
        <v>0.51020408163265307</v>
      </c>
      <c r="AX104" s="1">
        <v>1</v>
      </c>
      <c r="AY104" s="3">
        <f t="shared" ref="AY104:AY105" si="82">100*AX104/$S104</f>
        <v>0.51020408163265307</v>
      </c>
      <c r="AZ104" s="1">
        <v>6</v>
      </c>
      <c r="BA104" s="3">
        <f t="shared" ref="BA104:BA105" si="83">100*AZ104/$S104</f>
        <v>3.0612244897959182</v>
      </c>
      <c r="BB104" t="s">
        <v>209</v>
      </c>
      <c r="BD104"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72.818181818181813</v>
      </c>
      <c r="BE104" s="13">
        <f>2*(Дума_партии[[#This Row],[5. Всероссийская политическая партия "ЕДИНАЯ РОССИЯ"]]-(AB$124/100)*Дума_партии[[#This Row],[Число действительных избирательных бюллетеней]])</f>
        <v>96.12</v>
      </c>
      <c r="BF104" s="13">
        <f>(Дума_партии[[#This Row],[Вброс]]+Дума_партии[[#This Row],[Перекладывание]])/2</f>
        <v>84.469090909090909</v>
      </c>
      <c r="BG104" s="13">
        <v>0</v>
      </c>
    </row>
    <row r="105" spans="1:59" x14ac:dyDescent="0.4">
      <c r="A105" s="1" t="s">
        <v>49</v>
      </c>
      <c r="B105" s="1" t="s">
        <v>50</v>
      </c>
      <c r="C105" s="1" t="s">
        <v>51</v>
      </c>
      <c r="D105" s="1" t="s">
        <v>102</v>
      </c>
      <c r="E105" s="1" t="s">
        <v>206</v>
      </c>
      <c r="F105" s="10">
        <f t="shared" ca="1" si="65"/>
        <v>4252</v>
      </c>
      <c r="G105" s="1" t="s">
        <v>254</v>
      </c>
      <c r="H105" s="1">
        <v>269</v>
      </c>
      <c r="I105" s="10">
        <f>Дума_партии[[#This Row],[Число избирателей, внесенных в список избирателей на момент окончания голосования]]</f>
        <v>269</v>
      </c>
      <c r="J105" s="1">
        <v>280</v>
      </c>
      <c r="K105" s="1">
        <v>0</v>
      </c>
      <c r="L105" s="1">
        <v>243</v>
      </c>
      <c r="M105" s="1">
        <v>0</v>
      </c>
      <c r="N105" s="3">
        <f t="shared" si="66"/>
        <v>90.334572490706321</v>
      </c>
      <c r="O105" s="3">
        <f t="shared" si="47"/>
        <v>0</v>
      </c>
      <c r="P105" s="1">
        <v>37</v>
      </c>
      <c r="Q105" s="1">
        <v>0</v>
      </c>
      <c r="R105" s="1">
        <v>243</v>
      </c>
      <c r="S105" s="1">
        <f t="shared" si="67"/>
        <v>243</v>
      </c>
      <c r="T105" s="3">
        <f t="shared" si="68"/>
        <v>0</v>
      </c>
      <c r="U105" s="1">
        <v>23</v>
      </c>
      <c r="V105" s="3">
        <f t="shared" si="69"/>
        <v>9.4650205761316872</v>
      </c>
      <c r="W105" s="1">
        <v>220</v>
      </c>
      <c r="X105" s="1">
        <v>0</v>
      </c>
      <c r="Y105" s="1">
        <v>0</v>
      </c>
      <c r="Z105" s="1">
        <v>40</v>
      </c>
      <c r="AA105" s="3">
        <f t="shared" si="70"/>
        <v>16.460905349794238</v>
      </c>
      <c r="AB105" s="1">
        <v>6</v>
      </c>
      <c r="AC105" s="3">
        <f t="shared" si="71"/>
        <v>2.4691358024691357</v>
      </c>
      <c r="AD105" s="1">
        <v>32</v>
      </c>
      <c r="AE105" s="3">
        <f t="shared" si="72"/>
        <v>13.168724279835391</v>
      </c>
      <c r="AF105" s="1">
        <v>13</v>
      </c>
      <c r="AG105" s="3">
        <f t="shared" si="73"/>
        <v>5.3497942386831276</v>
      </c>
      <c r="AH105" s="1">
        <v>104</v>
      </c>
      <c r="AI105" s="3">
        <f t="shared" si="74"/>
        <v>42.798353909465021</v>
      </c>
      <c r="AJ105" s="1">
        <v>8</v>
      </c>
      <c r="AK105" s="3">
        <f t="shared" si="75"/>
        <v>3.2921810699588478</v>
      </c>
      <c r="AL105" s="1">
        <v>2</v>
      </c>
      <c r="AM105" s="3">
        <f t="shared" si="76"/>
        <v>0.82304526748971196</v>
      </c>
      <c r="AN105" s="1">
        <v>0</v>
      </c>
      <c r="AO105" s="3">
        <f t="shared" si="77"/>
        <v>0</v>
      </c>
      <c r="AP105" s="1">
        <v>0</v>
      </c>
      <c r="AQ105" s="3">
        <f t="shared" si="78"/>
        <v>0</v>
      </c>
      <c r="AR105" s="1">
        <v>1</v>
      </c>
      <c r="AS105" s="3">
        <f t="shared" si="79"/>
        <v>0.41152263374485598</v>
      </c>
      <c r="AT105" s="1">
        <v>0</v>
      </c>
      <c r="AU105" s="3">
        <f t="shared" si="80"/>
        <v>0</v>
      </c>
      <c r="AV105" s="1">
        <v>6</v>
      </c>
      <c r="AW105" s="3">
        <f t="shared" si="81"/>
        <v>2.4691358024691357</v>
      </c>
      <c r="AX105" s="1">
        <v>1</v>
      </c>
      <c r="AY105" s="3">
        <f t="shared" si="82"/>
        <v>0.41152263374485598</v>
      </c>
      <c r="AZ105" s="1">
        <v>7</v>
      </c>
      <c r="BA105" s="3">
        <f t="shared" si="83"/>
        <v>2.880658436213992</v>
      </c>
      <c r="BB105" t="s">
        <v>209</v>
      </c>
      <c r="BD105" s="13">
        <f>Дума_партии[[#This Row],[5. Всероссийская политическая партия "ЕДИНАЯ РОССИЯ"]]-((AB$124/100)/(1-(AB$124/100)))*(Дума_партии[[#This Row],[Число действительных избирательных бюллетеней]]-Дума_партии[[#This Row],[5. Всероссийская политическая партия "ЕДИНАЯ РОССИЯ"]])</f>
        <v>44.242424242424228</v>
      </c>
      <c r="BE105" s="13">
        <f>2*(Дума_партии[[#This Row],[5. Всероссийская политическая партия "ЕДИНАЯ РОССИЯ"]]-(AB$124/100)*Дума_партии[[#This Row],[Число действительных избирательных бюллетеней]])</f>
        <v>58.399999999999977</v>
      </c>
      <c r="BF105" s="13">
        <f>(Дума_партии[[#This Row],[Вброс]]+Дума_партии[[#This Row],[Перекладывание]])/2</f>
        <v>51.321212121212099</v>
      </c>
      <c r="BG105" s="13">
        <v>0</v>
      </c>
    </row>
    <row r="106" spans="1:59" x14ac:dyDescent="0.4">
      <c r="A106" s="1" t="s">
        <v>95</v>
      </c>
      <c r="F106" s="1">
        <f ca="1">SUBTOTAL(103,Дума_партии[УИК])</f>
        <v>104</v>
      </c>
      <c r="H106" s="1">
        <f>SUBTOTAL(109,Дума_партии[Число избирателей, внесенных в список избирателей на момент окончания голосования])</f>
        <v>132218</v>
      </c>
      <c r="L106" s="1">
        <f>SUBTOTAL(109,Дума_партии[Число избирательных бюллетеней, выданных в помещении для голосования в день голосования])</f>
        <v>55037</v>
      </c>
      <c r="M106" s="1">
        <f>SUBTOTAL(109,Дума_партии[Число избирательных бюллетеней, выданных вне помещения для голосования в день голосования])</f>
        <v>5512</v>
      </c>
      <c r="N106" s="1"/>
      <c r="O106" s="1"/>
      <c r="S106" s="1">
        <f>SUBTOTAL(109,Дума_партии[Обнаружено])</f>
        <v>60515</v>
      </c>
      <c r="T106" s="1"/>
      <c r="V106" s="1"/>
      <c r="Z106" s="1">
        <f>SUBTOTAL(109,Дума_партии[1. Политическая партия "КОММУНИСТИЧЕСКАЯ ПАРТИЯ РОССИЙСКОЙ ФЕДЕРАЦИИ"])</f>
        <v>11245</v>
      </c>
      <c r="AA106" s="1"/>
      <c r="AB106" s="1">
        <f>SUBTOTAL(109,Дума_партии[2. Политическая партия "Российская экологическая партия "ЗЕЛЁНЫЕ"])</f>
        <v>734</v>
      </c>
      <c r="AC106" s="1"/>
      <c r="AD106" s="1">
        <f>SUBTOTAL(109,Дума_партии[3. Политическая партия ЛДПР – Либерально-демократическая партия России])</f>
        <v>5199</v>
      </c>
      <c r="AE106" s="1"/>
      <c r="AF106" s="1">
        <f>SUBTOTAL(109,Дума_партии[4. Политическая партия "НОВЫЕ ЛЮДИ"])</f>
        <v>2993</v>
      </c>
      <c r="AG106" s="1"/>
      <c r="AH106" s="1">
        <f>SUBTOTAL(109,Дума_партии[5. Всероссийская политическая партия "ЕДИНАЯ РОССИЯ"])</f>
        <v>28594</v>
      </c>
      <c r="AI106" s="1"/>
      <c r="AJ106" s="1">
        <f>SUBTOTAL(109,Дума_партии[6. Партия СПРАВЕДЛИВАЯ РОССИЯ – ЗА ПРАВДУ])</f>
        <v>3205</v>
      </c>
      <c r="AK106" s="1"/>
      <c r="AL106" s="1">
        <f>SUBTOTAL(109,Дума_партии[7. Политическая партия "Российская объединенная демократическая партия "ЯБЛОКО"])</f>
        <v>1333</v>
      </c>
      <c r="AM106" s="1"/>
      <c r="AN106" s="1">
        <f>SUBTOTAL(109,Дума_партии[8. Всероссийская политическая партия "ПАРТИЯ РОСТА"])</f>
        <v>299</v>
      </c>
      <c r="AO106" s="1"/>
      <c r="AP106" s="1">
        <f>SUBTOTAL(109,Дума_партии[9. Политическая партия РОССИЙСКАЯ ПАРТИЯ СВОБОДЫ И СПРАВЕДЛИВОСТИ])</f>
        <v>514</v>
      </c>
      <c r="AQ106" s="1"/>
      <c r="AR106" s="1">
        <f>SUBTOTAL(109,Дума_партии[10. Политическая партия КОММУНИСТИЧЕСКАЯ ПАРТИЯ КОММУНИСТЫ РОССИИ])</f>
        <v>912</v>
      </c>
      <c r="AS106" s="1"/>
      <c r="AT106" s="1">
        <f>SUBTOTAL(109,Дума_партии[11. Политическая партия "Гражданская Платформа"])</f>
        <v>89</v>
      </c>
      <c r="AU106" s="1"/>
      <c r="AV106" s="1">
        <f>SUBTOTAL(109,Дума_партии[12. Политическая партия ЗЕЛЕНАЯ АЛЬТЕРНАТИВА])</f>
        <v>521</v>
      </c>
      <c r="AW106" s="1"/>
      <c r="AX106" s="1">
        <f>SUBTOTAL(109,Дума_партии[13. ВСЕРОССИЙСКАЯ ПОЛИТИЧЕСКАЯ ПАРТИЯ "РОДИНА"])</f>
        <v>554</v>
      </c>
      <c r="AY106" s="1"/>
      <c r="AZ106" s="1">
        <f>SUBTOTAL(109,Дума_партии[14. ПАРТИЯ ПЕНСИОНЕРОВ])</f>
        <v>1792</v>
      </c>
      <c r="BA106" s="1"/>
      <c r="BD106" s="13">
        <f>SUBTOTAL(109,Дума_партии[Вброс])</f>
        <v>13453.696969696961</v>
      </c>
      <c r="BE106" s="13">
        <f>SUBTOTAL(109,Дума_партии[Перекладывание])</f>
        <v>17758.879999999997</v>
      </c>
      <c r="BF106" s="13">
        <f>SUBTOTAL(109,Дума_партии[Оценка числа бюллетеней, сфальсифицированных в пользу ЕР])</f>
        <v>15606.288484848486</v>
      </c>
    </row>
    <row r="107" spans="1:59" s="3" customFormat="1" x14ac:dyDescent="0.4">
      <c r="L107" s="3" t="s">
        <v>52</v>
      </c>
      <c r="M107" s="3">
        <f>100*(L106+M106)/H106</f>
        <v>45.794823700252614</v>
      </c>
      <c r="Z107" s="3">
        <f>100*Z106/$S106</f>
        <v>18.582169709989259</v>
      </c>
      <c r="AB107" s="3">
        <f>100*AB106/$S106</f>
        <v>1.2129224159299348</v>
      </c>
      <c r="AD107" s="3">
        <f>100*AD106/$S106</f>
        <v>8.5912583656944559</v>
      </c>
      <c r="AF107" s="3">
        <f>100*AF106/$S106</f>
        <v>4.9458811864826906</v>
      </c>
      <c r="AH107" s="3">
        <f>100*AH106/$S106</f>
        <v>47.251094769891765</v>
      </c>
      <c r="AJ107" s="3">
        <f>100*AJ106/$S106</f>
        <v>5.2962075518466492</v>
      </c>
      <c r="AL107" s="3">
        <f>100*AL106/$S106</f>
        <v>2.2027596463686687</v>
      </c>
      <c r="AN107" s="3">
        <f>100*AN106/$S106</f>
        <v>0.49409237379162191</v>
      </c>
      <c r="AP107" s="3">
        <f>100*AP106/$S106</f>
        <v>0.84937618772205237</v>
      </c>
      <c r="AR107" s="3">
        <f>100*AR106/$S106</f>
        <v>1.5070643642072215</v>
      </c>
      <c r="AT107" s="3">
        <f>100*AT106/$S106</f>
        <v>0.14707097413864331</v>
      </c>
      <c r="AV107" s="3">
        <f>100*AV106/$S106</f>
        <v>0.86094356771048497</v>
      </c>
      <c r="AX107" s="3">
        <f>100*AX106/$S106</f>
        <v>0.91547550194166738</v>
      </c>
      <c r="AZ107" s="3">
        <f>100*AZ106/$S106</f>
        <v>2.9612492770387506</v>
      </c>
      <c r="BD107" s="3">
        <f>BD106*100/Дума_партии[[#Totals],[5. Всероссийская политическая партия "ЕДИНАЯ РОССИЯ"]]</f>
        <v>47.050769286203263</v>
      </c>
      <c r="BE107" s="3">
        <f>BE106*100/Дума_партии[[#Totals],[5. Всероссийская политическая партия "ЕДИНАЯ РОССИЯ"]]</f>
        <v>62.107015457788336</v>
      </c>
      <c r="BF107" s="3">
        <f>BF106*100/Дума_партии[[#Totals],[5. Всероссийская политическая партия "ЕДИНАЯ РОССИЯ"]]</f>
        <v>54.578892371995828</v>
      </c>
    </row>
    <row r="123" spans="28:29" x14ac:dyDescent="0.4">
      <c r="AB123" s="1" t="s">
        <v>225</v>
      </c>
    </row>
    <row r="124" spans="28:29" x14ac:dyDescent="0.4">
      <c r="AB124" s="12">
        <v>34</v>
      </c>
    </row>
    <row r="125" spans="28:29" x14ac:dyDescent="0.4">
      <c r="AB125" s="11"/>
      <c r="AC125" s="11"/>
    </row>
    <row r="142" spans="28:28" x14ac:dyDescent="0.4">
      <c r="AB142" s="1" t="s">
        <v>297</v>
      </c>
    </row>
    <row r="143" spans="28:28" x14ac:dyDescent="0.4">
      <c r="AB143" s="1">
        <f>MAX($I2:$I105)</f>
        <v>3388</v>
      </c>
    </row>
  </sheetData>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DF634-FF40-4E53-A1E8-C41C1B1617A8}">
  <dimension ref="B1:AY143"/>
  <sheetViews>
    <sheetView topLeftCell="F1" zoomScale="70" zoomScaleNormal="70" workbookViewId="0">
      <pane ySplit="1" topLeftCell="A93" activePane="bottomLeft" state="frozen"/>
      <selection activeCell="B2" sqref="B2:E105"/>
      <selection pane="bottomLeft" activeCell="AA141" sqref="AA141"/>
    </sheetView>
  </sheetViews>
  <sheetFormatPr defaultRowHeight="14.15" x14ac:dyDescent="0.4"/>
  <cols>
    <col min="1" max="1" width="6.23046875" style="1" customWidth="1"/>
    <col min="2" max="6" width="6.3828125" style="1" customWidth="1"/>
    <col min="7" max="7" width="16.84375" style="1" customWidth="1"/>
    <col min="8" max="8" width="7.61328125" style="1" customWidth="1"/>
    <col min="9" max="10" width="6.3828125" style="1" customWidth="1"/>
    <col min="11" max="11" width="6.3828125" style="3" customWidth="1"/>
    <col min="12" max="13" width="6.3828125" style="1" customWidth="1"/>
    <col min="14" max="14" width="9.23046875" style="1"/>
    <col min="15" max="18" width="6.3828125" style="1" customWidth="1"/>
    <col min="19" max="19" width="6.3828125" style="3" customWidth="1"/>
    <col min="20" max="20" width="6.3828125" style="1" customWidth="1"/>
    <col min="21" max="21" width="6.3828125" style="3" customWidth="1"/>
    <col min="22" max="25" width="6.3828125" style="1" customWidth="1"/>
    <col min="26" max="26" width="6.3828125" style="3" customWidth="1"/>
    <col min="27" max="27" width="6.3828125" style="1" customWidth="1"/>
    <col min="28" max="28" width="6.3828125" style="3" customWidth="1"/>
    <col min="29" max="29" width="6.3828125" style="1" customWidth="1"/>
    <col min="30" max="30" width="6.3828125" style="3" customWidth="1"/>
    <col min="31" max="31" width="6.3828125" style="1" customWidth="1"/>
    <col min="32" max="32" width="6.3828125" style="3" customWidth="1"/>
    <col min="33" max="33" width="6.3828125" style="1" customWidth="1"/>
    <col min="34" max="34" width="6.3828125" style="3" customWidth="1"/>
    <col min="35" max="35" width="6.3828125" style="1" customWidth="1"/>
    <col min="36" max="36" width="6.3828125" style="3" customWidth="1"/>
    <col min="37" max="37" width="6.3828125" style="1" customWidth="1"/>
    <col min="38" max="38" width="6.3828125" style="3" customWidth="1"/>
    <col min="39" max="39" width="6.3828125" style="1" customWidth="1"/>
    <col min="40" max="40" width="6.3828125" style="3" customWidth="1"/>
    <col min="41" max="41" width="6.3828125" style="1" customWidth="1"/>
    <col min="42" max="42" width="6.3828125" style="3" customWidth="1"/>
    <col min="43" max="43" width="6.3828125" style="1" customWidth="1"/>
    <col min="44" max="44" width="6.3828125" style="3" customWidth="1"/>
    <col min="45" max="46" width="6.3828125" style="1" customWidth="1"/>
    <col min="47" max="47" width="6.23046875" style="1" customWidth="1"/>
    <col min="48" max="50" width="6.3828125" style="1" customWidth="1"/>
    <col min="51" max="51" width="16" style="1" customWidth="1"/>
    <col min="52" max="16384" width="9.23046875" style="1"/>
  </cols>
  <sheetData>
    <row r="1" spans="2:51" x14ac:dyDescent="0.4">
      <c r="B1" s="1" t="s">
        <v>0</v>
      </c>
      <c r="C1" s="1" t="s">
        <v>2</v>
      </c>
      <c r="D1" s="1" t="s">
        <v>3</v>
      </c>
      <c r="E1" s="1" t="s">
        <v>4</v>
      </c>
      <c r="F1" s="5" t="s">
        <v>98</v>
      </c>
      <c r="G1" s="5" t="s">
        <v>99</v>
      </c>
      <c r="H1" s="1" t="s">
        <v>53</v>
      </c>
      <c r="I1" s="1" t="s">
        <v>101</v>
      </c>
      <c r="J1" s="1" t="s">
        <v>54</v>
      </c>
      <c r="K1" s="1" t="s">
        <v>97</v>
      </c>
      <c r="L1" s="1" t="s">
        <v>55</v>
      </c>
      <c r="M1" s="1" t="s">
        <v>56</v>
      </c>
      <c r="N1" s="3" t="s">
        <v>10</v>
      </c>
      <c r="O1" s="3" t="s">
        <v>93</v>
      </c>
      <c r="P1" s="1" t="s">
        <v>57</v>
      </c>
      <c r="Q1" s="1" t="s">
        <v>58</v>
      </c>
      <c r="R1" s="1" t="s">
        <v>59</v>
      </c>
      <c r="S1" s="1" t="s">
        <v>15</v>
      </c>
      <c r="T1" s="8" t="s">
        <v>11</v>
      </c>
      <c r="U1" s="1" t="s">
        <v>60</v>
      </c>
      <c r="V1" s="8" t="s">
        <v>94</v>
      </c>
      <c r="W1" s="1" t="s">
        <v>61</v>
      </c>
      <c r="X1" s="1" t="s">
        <v>62</v>
      </c>
      <c r="Y1" s="1" t="s">
        <v>63</v>
      </c>
      <c r="Z1" s="1" t="s">
        <v>64</v>
      </c>
      <c r="AA1" s="3" t="s">
        <v>45</v>
      </c>
      <c r="AB1" s="1" t="s">
        <v>65</v>
      </c>
      <c r="AC1" s="3" t="s">
        <v>25</v>
      </c>
      <c r="AD1" s="1" t="s">
        <v>66</v>
      </c>
      <c r="AE1" s="3" t="s">
        <v>27</v>
      </c>
      <c r="AF1" s="1" t="s">
        <v>67</v>
      </c>
      <c r="AG1" s="3" t="s">
        <v>47</v>
      </c>
      <c r="AH1" s="1" t="s">
        <v>68</v>
      </c>
      <c r="AI1" s="3" t="s">
        <v>21</v>
      </c>
      <c r="AJ1" s="1" t="s">
        <v>69</v>
      </c>
      <c r="AK1" s="3" t="s">
        <v>29</v>
      </c>
      <c r="AL1" s="1" t="s">
        <v>70</v>
      </c>
      <c r="AM1" s="3" t="s">
        <v>23</v>
      </c>
      <c r="AN1" s="1" t="s">
        <v>71</v>
      </c>
      <c r="AO1" s="3" t="s">
        <v>33</v>
      </c>
      <c r="AP1" s="1" t="s">
        <v>72</v>
      </c>
      <c r="AQ1" s="3" t="s">
        <v>39</v>
      </c>
      <c r="AR1" s="1" t="s">
        <v>73</v>
      </c>
      <c r="AS1" s="3" t="s">
        <v>31</v>
      </c>
      <c r="AT1" s="1" t="s">
        <v>48</v>
      </c>
      <c r="AU1" s="9" t="s">
        <v>96</v>
      </c>
      <c r="AV1" s="14" t="s">
        <v>222</v>
      </c>
      <c r="AW1" s="14" t="s">
        <v>223</v>
      </c>
      <c r="AX1" s="14" t="s">
        <v>224</v>
      </c>
      <c r="AY1" s="1" t="s">
        <v>256</v>
      </c>
    </row>
    <row r="2" spans="2:51" x14ac:dyDescent="0.4">
      <c r="B2" t="s">
        <v>74</v>
      </c>
      <c r="C2" t="s">
        <v>207</v>
      </c>
      <c r="D2" t="s">
        <v>102</v>
      </c>
      <c r="E2" t="s">
        <v>103</v>
      </c>
      <c r="F2" s="2">
        <f t="shared" ref="F2:F39" ca="1" si="0">SUMPRODUCT(MID(0&amp;E2, LARGE(INDEX(ISNUMBER(--MID(E2, ROW(INDIRECT("1:"&amp;LEN(E2))), 1)) * ROW(INDIRECT("1:"&amp;LEN(E2))), 0), ROW(INDIRECT("1:"&amp;LEN(E2))))+1, 1) * 10^ROW(INDIRECT("1:"&amp;LEN(E2)))/10)</f>
        <v>1742</v>
      </c>
      <c r="G2" s="2" t="str">
        <f>Дума_партии[[#This Row],[Местоположение]]</f>
        <v>Наро-Фоминск</v>
      </c>
      <c r="H2">
        <v>686</v>
      </c>
      <c r="I2" s="1">
        <f>Мособлдума_партии[[#This Row],[Число избирателей, внесенных в список на момент окончания голосования]]</f>
        <v>686</v>
      </c>
      <c r="J2">
        <v>600</v>
      </c>
      <c r="K2" s="1"/>
      <c r="L2">
        <v>261</v>
      </c>
      <c r="M2">
        <v>8</v>
      </c>
      <c r="N2" s="3">
        <f t="shared" ref="N2:N39" si="1">100*(L2+M2)/H2</f>
        <v>39.212827988338191</v>
      </c>
      <c r="O2" s="3">
        <f t="shared" ref="O2:O39" si="2">100*M2/H2</f>
        <v>1.1661807580174928</v>
      </c>
      <c r="P2">
        <v>331</v>
      </c>
      <c r="Q2">
        <v>8</v>
      </c>
      <c r="R2">
        <v>261</v>
      </c>
      <c r="S2" s="1">
        <f>Q2+R2</f>
        <v>269</v>
      </c>
      <c r="T2" s="3">
        <f>100*Q2/S2</f>
        <v>2.9739776951672861</v>
      </c>
      <c r="U2">
        <v>13</v>
      </c>
      <c r="V2" s="3">
        <f>100*U2/S2</f>
        <v>4.8327137546468402</v>
      </c>
      <c r="W2">
        <v>256</v>
      </c>
      <c r="X2">
        <v>0</v>
      </c>
      <c r="Y2">
        <v>0</v>
      </c>
      <c r="Z2">
        <v>2</v>
      </c>
      <c r="AA2" s="3">
        <f>100*Z2/$S2</f>
        <v>0.74349442379182151</v>
      </c>
      <c r="AB2">
        <v>25</v>
      </c>
      <c r="AC2" s="3">
        <f>100*AB2/$S2</f>
        <v>9.2936802973977688</v>
      </c>
      <c r="AD2">
        <v>5</v>
      </c>
      <c r="AE2" s="3">
        <f>100*AD2/$S2</f>
        <v>1.8587360594795539</v>
      </c>
      <c r="AF2">
        <v>10</v>
      </c>
      <c r="AG2" s="3">
        <f>100*AF2/$S2</f>
        <v>3.7174721189591078</v>
      </c>
      <c r="AH2">
        <v>81</v>
      </c>
      <c r="AI2" s="3">
        <f>100*AH2/$S2</f>
        <v>30.111524163568774</v>
      </c>
      <c r="AJ2">
        <v>95</v>
      </c>
      <c r="AK2" s="3">
        <f>100*AJ2/$S2</f>
        <v>35.315985130111521</v>
      </c>
      <c r="AL2">
        <v>3</v>
      </c>
      <c r="AM2" s="3">
        <f>100*AL2/$S2</f>
        <v>1.1152416356877324</v>
      </c>
      <c r="AN2">
        <v>7</v>
      </c>
      <c r="AO2" s="3">
        <f>100*AN2/$S2</f>
        <v>2.6022304832713754</v>
      </c>
      <c r="AP2">
        <v>4</v>
      </c>
      <c r="AQ2" s="3">
        <f>100*AP2/$S2</f>
        <v>1.486988847583643</v>
      </c>
      <c r="AR2">
        <v>24</v>
      </c>
      <c r="AS2" s="3">
        <f>100*AR2/$S2</f>
        <v>8.921933085501859</v>
      </c>
      <c r="AT2" t="s">
        <v>208</v>
      </c>
      <c r="AV2"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12.060606060606048</v>
      </c>
      <c r="AW2" s="13">
        <f>2*(Мособлдума_партии[[#This Row],[6. Всероссийская политическая партия "ЕДИНАЯ РОССИЯ"]]-(AA$124/100)*Мособлдума_партии[[#This Row],[Число действительных бюллетеней]])</f>
        <v>15.919999999999987</v>
      </c>
      <c r="AX2" s="13">
        <f>(Мособлдума_партии[[#This Row],[Вброс]]+Мособлдума_партии[[#This Row],[Перекладывание]])/2</f>
        <v>13.990303030303018</v>
      </c>
      <c r="AY2" s="13">
        <f>Дума_партии[[#This Row],[Зона ответственности в сен. 2022 г.]]</f>
        <v>0</v>
      </c>
    </row>
    <row r="3" spans="2:51" x14ac:dyDescent="0.4">
      <c r="B3" t="s">
        <v>74</v>
      </c>
      <c r="C3" t="s">
        <v>207</v>
      </c>
      <c r="D3" t="s">
        <v>102</v>
      </c>
      <c r="E3" t="s">
        <v>104</v>
      </c>
      <c r="F3" s="2">
        <f t="shared" ca="1" si="0"/>
        <v>1743</v>
      </c>
      <c r="G3" s="2" t="str">
        <f>Дума_партии[[#This Row],[Местоположение]]</f>
        <v>Наро-Фоминск</v>
      </c>
      <c r="H3">
        <v>1338</v>
      </c>
      <c r="I3" s="1">
        <f>Мособлдума_партии[[#This Row],[Число избирателей, внесенных в список на момент окончания голосования]]</f>
        <v>1338</v>
      </c>
      <c r="J3">
        <v>1300</v>
      </c>
      <c r="K3" s="1"/>
      <c r="L3">
        <v>489</v>
      </c>
      <c r="M3">
        <v>20</v>
      </c>
      <c r="N3" s="3">
        <f t="shared" si="1"/>
        <v>38.041853512705529</v>
      </c>
      <c r="O3" s="3">
        <f>100*M3/H3</f>
        <v>1.4947683109118086</v>
      </c>
      <c r="P3">
        <v>791</v>
      </c>
      <c r="Q3">
        <v>20</v>
      </c>
      <c r="R3">
        <v>489</v>
      </c>
      <c r="S3" s="1">
        <f t="shared" ref="S3:S39" si="3">Q3+R3</f>
        <v>509</v>
      </c>
      <c r="T3" s="3">
        <f t="shared" ref="T3:T39" si="4">100*Q3/S3</f>
        <v>3.9292730844793713</v>
      </c>
      <c r="U3">
        <v>29</v>
      </c>
      <c r="V3" s="3">
        <f t="shared" ref="V3:V39" si="5">100*U3/S3</f>
        <v>5.6974459724950881</v>
      </c>
      <c r="W3">
        <v>480</v>
      </c>
      <c r="X3">
        <v>0</v>
      </c>
      <c r="Y3">
        <v>0</v>
      </c>
      <c r="Z3">
        <v>10</v>
      </c>
      <c r="AA3" s="3">
        <f t="shared" ref="AA3:AC39" si="6">100*Z3/$S3</f>
        <v>1.9646365422396856</v>
      </c>
      <c r="AB3">
        <v>52</v>
      </c>
      <c r="AC3" s="3">
        <f t="shared" si="6"/>
        <v>10.216110019646365</v>
      </c>
      <c r="AD3">
        <v>25</v>
      </c>
      <c r="AE3" s="3">
        <f t="shared" ref="AE3:AG18" si="7">100*AD3/$S3</f>
        <v>4.9115913555992146</v>
      </c>
      <c r="AF3">
        <v>21</v>
      </c>
      <c r="AG3" s="3">
        <f t="shared" si="7"/>
        <v>4.1257367387033401</v>
      </c>
      <c r="AH3">
        <v>91</v>
      </c>
      <c r="AI3" s="3">
        <f t="shared" ref="AI3:AK18" si="8">100*AH3/$S3</f>
        <v>17.878192534381139</v>
      </c>
      <c r="AJ3">
        <v>219</v>
      </c>
      <c r="AK3" s="3">
        <f t="shared" si="8"/>
        <v>43.025540275049117</v>
      </c>
      <c r="AL3">
        <v>12</v>
      </c>
      <c r="AM3" s="3">
        <f t="shared" ref="AM3:AO18" si="9">100*AL3/$S3</f>
        <v>2.3575638506876229</v>
      </c>
      <c r="AN3">
        <v>13</v>
      </c>
      <c r="AO3" s="3">
        <f t="shared" si="9"/>
        <v>2.5540275049115913</v>
      </c>
      <c r="AP3">
        <v>15</v>
      </c>
      <c r="AQ3" s="3">
        <f t="shared" ref="AQ3:AS18" si="10">100*AP3/$S3</f>
        <v>2.9469548133595285</v>
      </c>
      <c r="AR3">
        <v>22</v>
      </c>
      <c r="AS3" s="3">
        <f t="shared" si="10"/>
        <v>4.3222003929273081</v>
      </c>
      <c r="AT3" t="s">
        <v>208</v>
      </c>
      <c r="AV3"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84.545454545454533</v>
      </c>
      <c r="AW3" s="13">
        <f>2*(Мособлдума_партии[[#This Row],[6. Всероссийская политическая партия "ЕДИНАЯ РОССИЯ"]]-(AA$124/100)*Мособлдума_партии[[#This Row],[Число действительных бюллетеней]])</f>
        <v>111.59999999999997</v>
      </c>
      <c r="AX3" s="13">
        <f>(Мособлдума_партии[[#This Row],[Вброс]]+Мособлдума_партии[[#This Row],[Перекладывание]])/2</f>
        <v>98.072727272727249</v>
      </c>
      <c r="AY3" s="13">
        <f>Дума_партии[[#This Row],[Зона ответственности в сен. 2022 г.]]</f>
        <v>0</v>
      </c>
    </row>
    <row r="4" spans="2:51" x14ac:dyDescent="0.4">
      <c r="B4" t="s">
        <v>74</v>
      </c>
      <c r="C4" t="s">
        <v>207</v>
      </c>
      <c r="D4" t="s">
        <v>102</v>
      </c>
      <c r="E4" t="s">
        <v>105</v>
      </c>
      <c r="F4" s="2">
        <f t="shared" ca="1" si="0"/>
        <v>1744</v>
      </c>
      <c r="G4" s="2" t="str">
        <f>Дума_партии[[#This Row],[Местоположение]]</f>
        <v>Наро-Фоминск</v>
      </c>
      <c r="H4">
        <v>1083</v>
      </c>
      <c r="I4" s="1">
        <f>Мособлдума_партии[[#This Row],[Число избирателей, внесенных в список на момент окончания голосования]]</f>
        <v>1083</v>
      </c>
      <c r="J4">
        <v>1000</v>
      </c>
      <c r="K4" s="1"/>
      <c r="L4">
        <v>421</v>
      </c>
      <c r="M4">
        <v>6</v>
      </c>
      <c r="N4" s="3">
        <f t="shared" si="1"/>
        <v>39.427516158818101</v>
      </c>
      <c r="O4" s="3">
        <f t="shared" si="2"/>
        <v>0.554016620498615</v>
      </c>
      <c r="P4">
        <v>573</v>
      </c>
      <c r="Q4">
        <v>6</v>
      </c>
      <c r="R4">
        <v>421</v>
      </c>
      <c r="S4" s="1">
        <f t="shared" si="3"/>
        <v>427</v>
      </c>
      <c r="T4" s="3">
        <f t="shared" si="4"/>
        <v>1.405152224824356</v>
      </c>
      <c r="U4">
        <v>8</v>
      </c>
      <c r="V4" s="3">
        <f t="shared" si="5"/>
        <v>1.873536299765808</v>
      </c>
      <c r="W4">
        <v>419</v>
      </c>
      <c r="X4">
        <v>0</v>
      </c>
      <c r="Y4">
        <v>0</v>
      </c>
      <c r="Z4">
        <v>0</v>
      </c>
      <c r="AA4" s="3">
        <f t="shared" si="6"/>
        <v>0</v>
      </c>
      <c r="AB4">
        <v>24</v>
      </c>
      <c r="AC4" s="3">
        <f t="shared" si="6"/>
        <v>5.6206088992974239</v>
      </c>
      <c r="AD4">
        <v>8</v>
      </c>
      <c r="AE4" s="3">
        <f t="shared" si="7"/>
        <v>1.873536299765808</v>
      </c>
      <c r="AF4">
        <v>17</v>
      </c>
      <c r="AG4" s="3">
        <f t="shared" si="7"/>
        <v>3.9812646370023419</v>
      </c>
      <c r="AH4">
        <v>40</v>
      </c>
      <c r="AI4" s="3">
        <f t="shared" si="8"/>
        <v>9.3676814988290396</v>
      </c>
      <c r="AJ4">
        <v>290</v>
      </c>
      <c r="AK4" s="3">
        <f t="shared" si="8"/>
        <v>67.915690866510545</v>
      </c>
      <c r="AL4">
        <v>4</v>
      </c>
      <c r="AM4" s="3">
        <f t="shared" si="9"/>
        <v>0.93676814988290402</v>
      </c>
      <c r="AN4">
        <v>8</v>
      </c>
      <c r="AO4" s="3">
        <f t="shared" si="9"/>
        <v>1.873536299765808</v>
      </c>
      <c r="AP4">
        <v>9</v>
      </c>
      <c r="AQ4" s="3">
        <f t="shared" si="10"/>
        <v>2.1077283372365341</v>
      </c>
      <c r="AR4">
        <v>19</v>
      </c>
      <c r="AS4" s="3">
        <f t="shared" si="10"/>
        <v>4.4496487119437935</v>
      </c>
      <c r="AT4" t="s">
        <v>208</v>
      </c>
      <c r="AV4"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223.54545454545453</v>
      </c>
      <c r="AW4" s="13">
        <f>2*(Мособлдума_партии[[#This Row],[6. Всероссийская политическая партия "ЕДИНАЯ РОССИЯ"]]-(AA$124/100)*Мособлдума_партии[[#This Row],[Число действительных бюллетеней]])</f>
        <v>295.08</v>
      </c>
      <c r="AX4" s="13">
        <f>(Мособлдума_партии[[#This Row],[Вброс]]+Мособлдума_партии[[#This Row],[Перекладывание]])/2</f>
        <v>259.31272727272727</v>
      </c>
      <c r="AY4" s="13">
        <f>Дума_партии[[#This Row],[Зона ответственности в сен. 2022 г.]]</f>
        <v>0</v>
      </c>
    </row>
    <row r="5" spans="2:51" x14ac:dyDescent="0.4">
      <c r="B5" t="s">
        <v>74</v>
      </c>
      <c r="C5" t="s">
        <v>207</v>
      </c>
      <c r="D5" t="s">
        <v>102</v>
      </c>
      <c r="E5" t="s">
        <v>106</v>
      </c>
      <c r="F5" s="2">
        <f t="shared" ca="1" si="0"/>
        <v>1745</v>
      </c>
      <c r="G5" s="2" t="str">
        <f>Дума_партии[[#This Row],[Местоположение]]</f>
        <v>Наро-Фоминск</v>
      </c>
      <c r="H5">
        <v>1508</v>
      </c>
      <c r="I5" s="1">
        <f>Мособлдума_партии[[#This Row],[Число избирателей, внесенных в список на момент окончания голосования]]</f>
        <v>1508</v>
      </c>
      <c r="J5">
        <v>1500</v>
      </c>
      <c r="K5" s="1"/>
      <c r="L5">
        <v>591</v>
      </c>
      <c r="M5">
        <v>10</v>
      </c>
      <c r="N5" s="3">
        <f t="shared" si="1"/>
        <v>39.854111405835546</v>
      </c>
      <c r="O5" s="3">
        <f t="shared" si="2"/>
        <v>0.66312997347480107</v>
      </c>
      <c r="P5">
        <v>899</v>
      </c>
      <c r="Q5">
        <v>10</v>
      </c>
      <c r="R5">
        <v>591</v>
      </c>
      <c r="S5" s="1">
        <f t="shared" si="3"/>
        <v>601</v>
      </c>
      <c r="T5" s="3">
        <f t="shared" si="4"/>
        <v>1.6638935108153079</v>
      </c>
      <c r="U5">
        <v>53</v>
      </c>
      <c r="V5" s="3">
        <f t="shared" si="5"/>
        <v>8.8186356073211307</v>
      </c>
      <c r="W5">
        <v>548</v>
      </c>
      <c r="X5">
        <v>0</v>
      </c>
      <c r="Y5">
        <v>0</v>
      </c>
      <c r="Z5">
        <v>10</v>
      </c>
      <c r="AA5" s="3">
        <f t="shared" si="6"/>
        <v>1.6638935108153079</v>
      </c>
      <c r="AB5">
        <v>41</v>
      </c>
      <c r="AC5" s="3">
        <f t="shared" si="6"/>
        <v>6.8219633943427622</v>
      </c>
      <c r="AD5">
        <v>39</v>
      </c>
      <c r="AE5" s="3">
        <f t="shared" si="7"/>
        <v>6.4891846921797001</v>
      </c>
      <c r="AF5">
        <v>39</v>
      </c>
      <c r="AG5" s="3">
        <f t="shared" si="7"/>
        <v>6.4891846921797001</v>
      </c>
      <c r="AH5">
        <v>117</v>
      </c>
      <c r="AI5" s="3">
        <f t="shared" si="8"/>
        <v>19.467554076539102</v>
      </c>
      <c r="AJ5">
        <v>217</v>
      </c>
      <c r="AK5" s="3">
        <f t="shared" si="8"/>
        <v>36.10648918469218</v>
      </c>
      <c r="AL5">
        <v>12</v>
      </c>
      <c r="AM5" s="3">
        <f t="shared" si="9"/>
        <v>1.9966722129783694</v>
      </c>
      <c r="AN5">
        <v>10</v>
      </c>
      <c r="AO5" s="3">
        <f t="shared" si="9"/>
        <v>1.6638935108153079</v>
      </c>
      <c r="AP5">
        <v>16</v>
      </c>
      <c r="AQ5" s="3">
        <f t="shared" si="10"/>
        <v>2.6622296173044924</v>
      </c>
      <c r="AR5">
        <v>47</v>
      </c>
      <c r="AS5" s="3">
        <f t="shared" si="10"/>
        <v>7.8202995008319469</v>
      </c>
      <c r="AT5" t="s">
        <v>208</v>
      </c>
      <c r="AV5"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46.484848484848442</v>
      </c>
      <c r="AW5" s="13">
        <f>2*(Мособлдума_партии[[#This Row],[6. Всероссийская политическая партия "ЕДИНАЯ РОССИЯ"]]-(AA$124/100)*Мособлдума_партии[[#This Row],[Число действительных бюллетеней]])</f>
        <v>61.359999999999957</v>
      </c>
      <c r="AX5" s="13">
        <f>(Мособлдума_партии[[#This Row],[Вброс]]+Мособлдума_партии[[#This Row],[Перекладывание]])/2</f>
        <v>53.922424242424199</v>
      </c>
      <c r="AY5" s="13">
        <f>Дума_партии[[#This Row],[Зона ответственности в сен. 2022 г.]]</f>
        <v>0</v>
      </c>
    </row>
    <row r="6" spans="2:51" x14ac:dyDescent="0.4">
      <c r="B6" t="s">
        <v>74</v>
      </c>
      <c r="C6" t="s">
        <v>207</v>
      </c>
      <c r="D6" t="s">
        <v>102</v>
      </c>
      <c r="E6" t="s">
        <v>107</v>
      </c>
      <c r="F6" s="2">
        <f t="shared" ca="1" si="0"/>
        <v>1746</v>
      </c>
      <c r="G6" s="2" t="str">
        <f>Дума_партии[[#This Row],[Местоположение]]</f>
        <v>Наро-Фоминск</v>
      </c>
      <c r="H6">
        <v>1446</v>
      </c>
      <c r="I6" s="1">
        <f>Мособлдума_партии[[#This Row],[Число избирателей, внесенных в список на момент окончания голосования]]</f>
        <v>1446</v>
      </c>
      <c r="J6">
        <v>1400</v>
      </c>
      <c r="K6" s="1"/>
      <c r="L6">
        <v>477</v>
      </c>
      <c r="M6">
        <v>4</v>
      </c>
      <c r="N6" s="3">
        <f t="shared" si="1"/>
        <v>33.264177040110653</v>
      </c>
      <c r="O6" s="3">
        <f t="shared" si="2"/>
        <v>0.27662517289073307</v>
      </c>
      <c r="P6">
        <v>919</v>
      </c>
      <c r="Q6">
        <v>4</v>
      </c>
      <c r="R6">
        <v>477</v>
      </c>
      <c r="S6" s="1">
        <f t="shared" si="3"/>
        <v>481</v>
      </c>
      <c r="T6" s="3">
        <f t="shared" si="4"/>
        <v>0.83160083160083165</v>
      </c>
      <c r="U6">
        <v>30</v>
      </c>
      <c r="V6" s="3">
        <f t="shared" si="5"/>
        <v>6.2370062370062369</v>
      </c>
      <c r="W6">
        <v>451</v>
      </c>
      <c r="X6">
        <v>0</v>
      </c>
      <c r="Y6">
        <v>0</v>
      </c>
      <c r="Z6">
        <v>16</v>
      </c>
      <c r="AA6" s="3">
        <f t="shared" si="6"/>
        <v>3.3264033264033266</v>
      </c>
      <c r="AB6">
        <v>12</v>
      </c>
      <c r="AC6" s="3">
        <f t="shared" si="6"/>
        <v>2.4948024948024949</v>
      </c>
      <c r="AD6">
        <v>16</v>
      </c>
      <c r="AE6" s="3">
        <f t="shared" si="7"/>
        <v>3.3264033264033266</v>
      </c>
      <c r="AF6">
        <v>6</v>
      </c>
      <c r="AG6" s="3">
        <f t="shared" si="7"/>
        <v>1.2474012474012475</v>
      </c>
      <c r="AH6">
        <v>42</v>
      </c>
      <c r="AI6" s="3">
        <f t="shared" si="8"/>
        <v>8.7318087318087318</v>
      </c>
      <c r="AJ6">
        <v>310</v>
      </c>
      <c r="AK6" s="3">
        <f t="shared" si="8"/>
        <v>64.449064449064451</v>
      </c>
      <c r="AL6">
        <v>9</v>
      </c>
      <c r="AM6" s="3">
        <f t="shared" si="9"/>
        <v>1.8711018711018712</v>
      </c>
      <c r="AN6">
        <v>12</v>
      </c>
      <c r="AO6" s="3">
        <f t="shared" si="9"/>
        <v>2.4948024948024949</v>
      </c>
      <c r="AP6">
        <v>9</v>
      </c>
      <c r="AQ6" s="3">
        <f t="shared" si="10"/>
        <v>1.8711018711018712</v>
      </c>
      <c r="AR6">
        <v>19</v>
      </c>
      <c r="AS6" s="3">
        <f t="shared" si="10"/>
        <v>3.9501039501039501</v>
      </c>
      <c r="AT6" t="s">
        <v>208</v>
      </c>
      <c r="AV6"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237.36363636363635</v>
      </c>
      <c r="AW6" s="13">
        <f>2*(Мособлдума_партии[[#This Row],[6. Всероссийская политическая партия "ЕДИНАЯ РОССИЯ"]]-(AA$124/100)*Мособлдума_партии[[#This Row],[Число действительных бюллетеней]])</f>
        <v>313.32</v>
      </c>
      <c r="AX6" s="13">
        <f>(Мособлдума_партии[[#This Row],[Вброс]]+Мособлдума_партии[[#This Row],[Перекладывание]])/2</f>
        <v>275.34181818181816</v>
      </c>
      <c r="AY6" s="13">
        <f>Дума_партии[[#This Row],[Зона ответственности в сен. 2022 г.]]</f>
        <v>0</v>
      </c>
    </row>
    <row r="7" spans="2:51" x14ac:dyDescent="0.4">
      <c r="B7" t="s">
        <v>74</v>
      </c>
      <c r="C7" t="s">
        <v>207</v>
      </c>
      <c r="D7" t="s">
        <v>102</v>
      </c>
      <c r="E7" t="s">
        <v>108</v>
      </c>
      <c r="F7" s="2">
        <f t="shared" ca="1" si="0"/>
        <v>1747</v>
      </c>
      <c r="G7" s="1" t="str">
        <f>Дума_партии[[#This Row],[Местоположение]]</f>
        <v>Наро-Фоминск</v>
      </c>
      <c r="H7">
        <v>1286</v>
      </c>
      <c r="I7" s="1">
        <f>Мособлдума_партии[[#This Row],[Число избирателей, внесенных в список на момент окончания голосования]]</f>
        <v>1286</v>
      </c>
      <c r="J7">
        <v>1200</v>
      </c>
      <c r="K7" s="1"/>
      <c r="L7">
        <v>544</v>
      </c>
      <c r="M7">
        <v>6</v>
      </c>
      <c r="N7" s="3">
        <f t="shared" si="1"/>
        <v>42.768273716951789</v>
      </c>
      <c r="O7" s="3">
        <f t="shared" si="2"/>
        <v>0.46656298600311041</v>
      </c>
      <c r="P7">
        <v>650</v>
      </c>
      <c r="Q7">
        <v>6</v>
      </c>
      <c r="R7">
        <v>544</v>
      </c>
      <c r="S7" s="1">
        <f t="shared" si="3"/>
        <v>550</v>
      </c>
      <c r="T7" s="3">
        <f t="shared" si="4"/>
        <v>1.0909090909090908</v>
      </c>
      <c r="U7">
        <v>31</v>
      </c>
      <c r="V7" s="3">
        <f t="shared" si="5"/>
        <v>5.6363636363636367</v>
      </c>
      <c r="W7">
        <v>519</v>
      </c>
      <c r="X7">
        <v>0</v>
      </c>
      <c r="Y7">
        <v>0</v>
      </c>
      <c r="Z7">
        <v>6</v>
      </c>
      <c r="AA7" s="3">
        <f t="shared" si="6"/>
        <v>1.0909090909090908</v>
      </c>
      <c r="AB7">
        <v>58</v>
      </c>
      <c r="AC7" s="3">
        <f t="shared" si="6"/>
        <v>10.545454545454545</v>
      </c>
      <c r="AD7">
        <v>37</v>
      </c>
      <c r="AE7" s="3">
        <f t="shared" si="7"/>
        <v>6.7272727272727275</v>
      </c>
      <c r="AF7">
        <v>43</v>
      </c>
      <c r="AG7" s="3">
        <f t="shared" si="7"/>
        <v>7.8181818181818183</v>
      </c>
      <c r="AH7">
        <v>122</v>
      </c>
      <c r="AI7" s="3">
        <f t="shared" si="8"/>
        <v>22.181818181818183</v>
      </c>
      <c r="AJ7">
        <v>182</v>
      </c>
      <c r="AK7" s="3">
        <f t="shared" si="8"/>
        <v>33.090909090909093</v>
      </c>
      <c r="AL7">
        <v>11</v>
      </c>
      <c r="AM7" s="3">
        <f t="shared" si="9"/>
        <v>2</v>
      </c>
      <c r="AN7">
        <v>9</v>
      </c>
      <c r="AO7" s="3">
        <f t="shared" si="9"/>
        <v>1.6363636363636365</v>
      </c>
      <c r="AP7">
        <v>10</v>
      </c>
      <c r="AQ7" s="3">
        <f t="shared" si="10"/>
        <v>1.8181818181818181</v>
      </c>
      <c r="AR7">
        <v>41</v>
      </c>
      <c r="AS7" s="3">
        <f t="shared" si="10"/>
        <v>7.4545454545454541</v>
      </c>
      <c r="AT7" t="s">
        <v>208</v>
      </c>
      <c r="AV7"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8.3939393939393483</v>
      </c>
      <c r="AW7" s="13">
        <f>2*(Мособлдума_партии[[#This Row],[6. Всероссийская политическая партия "ЕДИНАЯ РОССИЯ"]]-(AA$124/100)*Мособлдума_партии[[#This Row],[Число действительных бюллетеней]])</f>
        <v>11.079999999999984</v>
      </c>
      <c r="AX7" s="13">
        <f>(Мособлдума_партии[[#This Row],[Вброс]]+Мособлдума_партии[[#This Row],[Перекладывание]])/2</f>
        <v>9.7369696969696662</v>
      </c>
      <c r="AY7" s="13">
        <f>Дума_партии[[#This Row],[Зона ответственности в сен. 2022 г.]]</f>
        <v>0</v>
      </c>
    </row>
    <row r="8" spans="2:51" x14ac:dyDescent="0.4">
      <c r="B8" t="s">
        <v>74</v>
      </c>
      <c r="C8" t="s">
        <v>207</v>
      </c>
      <c r="D8" t="s">
        <v>102</v>
      </c>
      <c r="E8" t="s">
        <v>109</v>
      </c>
      <c r="F8" s="2">
        <f t="shared" ca="1" si="0"/>
        <v>1748</v>
      </c>
      <c r="G8" s="1" t="str">
        <f>Дума_партии[[#This Row],[Местоположение]]</f>
        <v>Наро-Фоминск</v>
      </c>
      <c r="H8">
        <v>1105</v>
      </c>
      <c r="I8" s="1">
        <f>Мособлдума_партии[[#This Row],[Число избирателей, внесенных в список на момент окончания голосования]]</f>
        <v>1105</v>
      </c>
      <c r="J8">
        <v>1100</v>
      </c>
      <c r="K8" s="1"/>
      <c r="L8">
        <v>466</v>
      </c>
      <c r="M8">
        <v>14</v>
      </c>
      <c r="N8" s="3">
        <f t="shared" si="1"/>
        <v>43.438914027149323</v>
      </c>
      <c r="O8" s="3">
        <f t="shared" si="2"/>
        <v>1.2669683257918551</v>
      </c>
      <c r="P8">
        <v>620</v>
      </c>
      <c r="Q8">
        <v>14</v>
      </c>
      <c r="R8">
        <v>465</v>
      </c>
      <c r="S8" s="1">
        <f t="shared" si="3"/>
        <v>479</v>
      </c>
      <c r="T8" s="3">
        <f t="shared" si="4"/>
        <v>2.9227557411273488</v>
      </c>
      <c r="U8">
        <v>15</v>
      </c>
      <c r="V8" s="3">
        <f t="shared" si="5"/>
        <v>3.1315240083507305</v>
      </c>
      <c r="W8">
        <v>464</v>
      </c>
      <c r="X8">
        <v>0</v>
      </c>
      <c r="Y8">
        <v>0</v>
      </c>
      <c r="Z8">
        <v>11</v>
      </c>
      <c r="AA8" s="3">
        <f t="shared" si="6"/>
        <v>2.2964509394572024</v>
      </c>
      <c r="AB8">
        <v>46</v>
      </c>
      <c r="AC8" s="3">
        <f t="shared" si="6"/>
        <v>9.6033402922755737</v>
      </c>
      <c r="AD8">
        <v>42</v>
      </c>
      <c r="AE8" s="3">
        <f t="shared" si="7"/>
        <v>8.7682672233820451</v>
      </c>
      <c r="AF8">
        <v>30</v>
      </c>
      <c r="AG8" s="3">
        <f t="shared" si="7"/>
        <v>6.2630480167014611</v>
      </c>
      <c r="AH8">
        <v>112</v>
      </c>
      <c r="AI8" s="3">
        <f t="shared" si="8"/>
        <v>23.382045929018791</v>
      </c>
      <c r="AJ8">
        <v>163</v>
      </c>
      <c r="AK8" s="3">
        <f t="shared" si="8"/>
        <v>34.029227557411275</v>
      </c>
      <c r="AL8">
        <v>12</v>
      </c>
      <c r="AM8" s="3">
        <f t="shared" si="9"/>
        <v>2.5052192066805845</v>
      </c>
      <c r="AN8">
        <v>8</v>
      </c>
      <c r="AO8" s="3">
        <f t="shared" si="9"/>
        <v>1.6701461377870563</v>
      </c>
      <c r="AP8">
        <v>9</v>
      </c>
      <c r="AQ8" s="3">
        <f t="shared" si="10"/>
        <v>1.8789144050104385</v>
      </c>
      <c r="AR8">
        <v>31</v>
      </c>
      <c r="AS8" s="3">
        <f t="shared" si="10"/>
        <v>6.4718162839248432</v>
      </c>
      <c r="AT8" t="s">
        <v>208</v>
      </c>
      <c r="AV8"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7.9393939393939092</v>
      </c>
      <c r="AW8" s="13">
        <f>2*(Мособлдума_партии[[#This Row],[6. Всероссийская политическая партия "ЕДИНАЯ РОССИЯ"]]-(AA$124/100)*Мособлдума_партии[[#This Row],[Число действительных бюллетеней]])</f>
        <v>10.479999999999961</v>
      </c>
      <c r="AX8" s="13">
        <f>(Мособлдума_партии[[#This Row],[Вброс]]+Мособлдума_партии[[#This Row],[Перекладывание]])/2</f>
        <v>9.2096969696969353</v>
      </c>
      <c r="AY8" s="13">
        <f>Дума_партии[[#This Row],[Зона ответственности в сен. 2022 г.]]</f>
        <v>0</v>
      </c>
    </row>
    <row r="9" spans="2:51" x14ac:dyDescent="0.4">
      <c r="B9" t="s">
        <v>74</v>
      </c>
      <c r="C9" t="s">
        <v>207</v>
      </c>
      <c r="D9" t="s">
        <v>102</v>
      </c>
      <c r="E9" t="s">
        <v>110</v>
      </c>
      <c r="F9" s="2">
        <f t="shared" ca="1" si="0"/>
        <v>1749</v>
      </c>
      <c r="G9" s="1" t="str">
        <f>Дума_партии[[#This Row],[Местоположение]]</f>
        <v>Наро-Фоминск</v>
      </c>
      <c r="H9">
        <v>1714</v>
      </c>
      <c r="I9" s="1">
        <f>Мособлдума_партии[[#This Row],[Число избирателей, внесенных в список на момент окончания голосования]]</f>
        <v>1714</v>
      </c>
      <c r="J9">
        <v>1500</v>
      </c>
      <c r="K9" s="1"/>
      <c r="L9">
        <v>632</v>
      </c>
      <c r="M9">
        <v>29</v>
      </c>
      <c r="N9" s="3">
        <f t="shared" si="1"/>
        <v>38.564760793465581</v>
      </c>
      <c r="O9" s="3">
        <f t="shared" si="2"/>
        <v>1.691948658109685</v>
      </c>
      <c r="P9">
        <v>839</v>
      </c>
      <c r="Q9">
        <v>29</v>
      </c>
      <c r="R9">
        <v>632</v>
      </c>
      <c r="S9" s="1">
        <f t="shared" si="3"/>
        <v>661</v>
      </c>
      <c r="T9" s="3">
        <f t="shared" si="4"/>
        <v>4.3872919818456886</v>
      </c>
      <c r="U9">
        <v>42</v>
      </c>
      <c r="V9" s="3">
        <f t="shared" si="5"/>
        <v>6.3540090771558244</v>
      </c>
      <c r="W9">
        <v>619</v>
      </c>
      <c r="X9">
        <v>0</v>
      </c>
      <c r="Y9">
        <v>0</v>
      </c>
      <c r="Z9">
        <v>10</v>
      </c>
      <c r="AA9" s="3">
        <f t="shared" si="6"/>
        <v>1.51285930408472</v>
      </c>
      <c r="AB9">
        <v>64</v>
      </c>
      <c r="AC9" s="3">
        <f t="shared" si="6"/>
        <v>9.6822995461422092</v>
      </c>
      <c r="AD9">
        <v>50</v>
      </c>
      <c r="AE9" s="3">
        <f t="shared" si="7"/>
        <v>7.5642965204236008</v>
      </c>
      <c r="AF9">
        <v>38</v>
      </c>
      <c r="AG9" s="3">
        <f t="shared" si="7"/>
        <v>5.7488653555219367</v>
      </c>
      <c r="AH9">
        <v>160</v>
      </c>
      <c r="AI9" s="3">
        <f t="shared" si="8"/>
        <v>24.20574886535552</v>
      </c>
      <c r="AJ9">
        <v>217</v>
      </c>
      <c r="AK9" s="3">
        <f t="shared" si="8"/>
        <v>32.829046898638424</v>
      </c>
      <c r="AL9">
        <v>14</v>
      </c>
      <c r="AM9" s="3">
        <f t="shared" si="9"/>
        <v>2.118003025718608</v>
      </c>
      <c r="AN9">
        <v>15</v>
      </c>
      <c r="AO9" s="3">
        <f t="shared" si="9"/>
        <v>2.2692889561270801</v>
      </c>
      <c r="AP9">
        <v>11</v>
      </c>
      <c r="AQ9" s="3">
        <f t="shared" si="10"/>
        <v>1.6641452344931922</v>
      </c>
      <c r="AR9">
        <v>40</v>
      </c>
      <c r="AS9" s="3">
        <f t="shared" si="10"/>
        <v>6.0514372163388801</v>
      </c>
      <c r="AT9" t="s">
        <v>208</v>
      </c>
      <c r="AV9"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9.9090909090908781</v>
      </c>
      <c r="AW9" s="13">
        <f>2*(Мособлдума_партии[[#This Row],[6. Всероссийская политическая партия "ЕДИНАЯ РОССИЯ"]]-(AA$124/100)*Мособлдума_партии[[#This Row],[Число действительных бюллетеней]])</f>
        <v>13.079999999999984</v>
      </c>
      <c r="AX9" s="13">
        <f>(Мособлдума_партии[[#This Row],[Вброс]]+Мособлдума_партии[[#This Row],[Перекладывание]])/2</f>
        <v>11.494545454545431</v>
      </c>
      <c r="AY9" s="13">
        <f>Дума_партии[[#This Row],[Зона ответственности в сен. 2022 г.]]</f>
        <v>0</v>
      </c>
    </row>
    <row r="10" spans="2:51" x14ac:dyDescent="0.4">
      <c r="B10" t="s">
        <v>74</v>
      </c>
      <c r="C10" t="s">
        <v>207</v>
      </c>
      <c r="D10" t="s">
        <v>102</v>
      </c>
      <c r="E10" t="s">
        <v>111</v>
      </c>
      <c r="F10" s="2">
        <f t="shared" ca="1" si="0"/>
        <v>1750</v>
      </c>
      <c r="G10" s="1" t="str">
        <f>Дума_партии[[#This Row],[Местоположение]]</f>
        <v>Наро-Фоминск</v>
      </c>
      <c r="H10">
        <v>1390</v>
      </c>
      <c r="I10" s="1">
        <f>Мособлдума_партии[[#This Row],[Число избирателей, внесенных в список на момент окончания голосования]]</f>
        <v>1390</v>
      </c>
      <c r="J10">
        <v>1400</v>
      </c>
      <c r="K10" s="1"/>
      <c r="L10">
        <v>524</v>
      </c>
      <c r="M10">
        <v>24</v>
      </c>
      <c r="N10" s="3">
        <f t="shared" si="1"/>
        <v>39.424460431654673</v>
      </c>
      <c r="O10" s="3">
        <f t="shared" si="2"/>
        <v>1.7266187050359711</v>
      </c>
      <c r="P10">
        <v>852</v>
      </c>
      <c r="Q10">
        <v>24</v>
      </c>
      <c r="R10">
        <v>524</v>
      </c>
      <c r="S10" s="1">
        <f t="shared" si="3"/>
        <v>548</v>
      </c>
      <c r="T10" s="3">
        <f t="shared" si="4"/>
        <v>4.3795620437956204</v>
      </c>
      <c r="U10">
        <v>52</v>
      </c>
      <c r="V10" s="3">
        <f t="shared" si="5"/>
        <v>9.4890510948905114</v>
      </c>
      <c r="W10">
        <v>496</v>
      </c>
      <c r="X10">
        <v>0</v>
      </c>
      <c r="Y10">
        <v>0</v>
      </c>
      <c r="Z10">
        <v>13</v>
      </c>
      <c r="AA10" s="3">
        <f t="shared" si="6"/>
        <v>2.3722627737226278</v>
      </c>
      <c r="AB10">
        <v>97</v>
      </c>
      <c r="AC10" s="3">
        <f t="shared" si="6"/>
        <v>17.700729927007298</v>
      </c>
      <c r="AD10">
        <v>24</v>
      </c>
      <c r="AE10" s="3">
        <f t="shared" si="7"/>
        <v>4.3795620437956204</v>
      </c>
      <c r="AF10">
        <v>27</v>
      </c>
      <c r="AG10" s="3">
        <f t="shared" si="7"/>
        <v>4.9270072992700733</v>
      </c>
      <c r="AH10">
        <v>61</v>
      </c>
      <c r="AI10" s="3">
        <f t="shared" si="8"/>
        <v>11.131386861313869</v>
      </c>
      <c r="AJ10">
        <v>231</v>
      </c>
      <c r="AK10" s="3">
        <f t="shared" si="8"/>
        <v>42.153284671532845</v>
      </c>
      <c r="AL10">
        <v>8</v>
      </c>
      <c r="AM10" s="3">
        <f t="shared" si="9"/>
        <v>1.4598540145985401</v>
      </c>
      <c r="AN10">
        <v>6</v>
      </c>
      <c r="AO10" s="3">
        <f t="shared" si="9"/>
        <v>1.0948905109489051</v>
      </c>
      <c r="AP10">
        <v>3</v>
      </c>
      <c r="AQ10" s="3">
        <f t="shared" si="10"/>
        <v>0.54744525547445255</v>
      </c>
      <c r="AR10">
        <v>26</v>
      </c>
      <c r="AS10" s="3">
        <f t="shared" si="10"/>
        <v>4.7445255474452557</v>
      </c>
      <c r="AT10" t="s">
        <v>208</v>
      </c>
      <c r="AV10"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94.48484848484847</v>
      </c>
      <c r="AW10" s="13">
        <f>2*(Мособлдума_партии[[#This Row],[6. Всероссийская политическая партия "ЕДИНАЯ РОССИЯ"]]-(AA$124/100)*Мособлдума_партии[[#This Row],[Число действительных бюллетеней]])</f>
        <v>124.71999999999997</v>
      </c>
      <c r="AX10" s="13">
        <f>(Мособлдума_партии[[#This Row],[Вброс]]+Мособлдума_партии[[#This Row],[Перекладывание]])/2</f>
        <v>109.60242424242422</v>
      </c>
      <c r="AY10" s="13">
        <f>Дума_партии[[#This Row],[Зона ответственности в сен. 2022 г.]]</f>
        <v>0</v>
      </c>
    </row>
    <row r="11" spans="2:51" x14ac:dyDescent="0.4">
      <c r="B11" t="s">
        <v>74</v>
      </c>
      <c r="C11" t="s">
        <v>207</v>
      </c>
      <c r="D11" t="s">
        <v>102</v>
      </c>
      <c r="E11" t="s">
        <v>112</v>
      </c>
      <c r="F11" s="2">
        <f t="shared" ca="1" si="0"/>
        <v>1751</v>
      </c>
      <c r="G11" s="1" t="str">
        <f>Дума_партии[[#This Row],[Местоположение]]</f>
        <v>Наро-Фоминск</v>
      </c>
      <c r="H11">
        <v>1333</v>
      </c>
      <c r="I11" s="1">
        <f>Мособлдума_партии[[#This Row],[Число избирателей, внесенных в список на момент окончания голосования]]</f>
        <v>1333</v>
      </c>
      <c r="J11">
        <v>1300</v>
      </c>
      <c r="K11" s="1"/>
      <c r="L11">
        <v>453</v>
      </c>
      <c r="M11">
        <v>17</v>
      </c>
      <c r="N11" s="3">
        <f t="shared" si="1"/>
        <v>35.258814703675917</v>
      </c>
      <c r="O11" s="3">
        <f t="shared" si="2"/>
        <v>1.2753188297074269</v>
      </c>
      <c r="P11">
        <v>830</v>
      </c>
      <c r="Q11">
        <v>17</v>
      </c>
      <c r="R11">
        <v>453</v>
      </c>
      <c r="S11" s="1">
        <f t="shared" si="3"/>
        <v>470</v>
      </c>
      <c r="T11" s="3">
        <f t="shared" si="4"/>
        <v>3.6170212765957448</v>
      </c>
      <c r="U11">
        <v>109</v>
      </c>
      <c r="V11" s="3">
        <f t="shared" si="5"/>
        <v>23.191489361702128</v>
      </c>
      <c r="W11">
        <v>361</v>
      </c>
      <c r="X11">
        <v>0</v>
      </c>
      <c r="Y11">
        <v>0</v>
      </c>
      <c r="Z11">
        <v>3</v>
      </c>
      <c r="AA11" s="3">
        <f t="shared" si="6"/>
        <v>0.63829787234042556</v>
      </c>
      <c r="AB11">
        <v>34</v>
      </c>
      <c r="AC11" s="3">
        <f t="shared" si="6"/>
        <v>7.2340425531914896</v>
      </c>
      <c r="AD11">
        <v>18</v>
      </c>
      <c r="AE11" s="3">
        <f t="shared" si="7"/>
        <v>3.8297872340425534</v>
      </c>
      <c r="AF11">
        <v>14</v>
      </c>
      <c r="AG11" s="3">
        <f t="shared" si="7"/>
        <v>2.978723404255319</v>
      </c>
      <c r="AH11">
        <v>86</v>
      </c>
      <c r="AI11" s="3">
        <f t="shared" si="8"/>
        <v>18.297872340425531</v>
      </c>
      <c r="AJ11">
        <v>171</v>
      </c>
      <c r="AK11" s="3">
        <f t="shared" si="8"/>
        <v>36.382978723404257</v>
      </c>
      <c r="AL11">
        <v>6</v>
      </c>
      <c r="AM11" s="3">
        <f t="shared" si="9"/>
        <v>1.2765957446808511</v>
      </c>
      <c r="AN11">
        <v>3</v>
      </c>
      <c r="AO11" s="3">
        <f t="shared" si="9"/>
        <v>0.63829787234042556</v>
      </c>
      <c r="AP11">
        <v>4</v>
      </c>
      <c r="AQ11" s="3">
        <f t="shared" si="10"/>
        <v>0.85106382978723405</v>
      </c>
      <c r="AR11">
        <v>22</v>
      </c>
      <c r="AS11" s="3">
        <f t="shared" si="10"/>
        <v>4.6808510638297873</v>
      </c>
      <c r="AT11" t="s">
        <v>208</v>
      </c>
      <c r="AV11"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73.121212121212096</v>
      </c>
      <c r="AW11" s="13">
        <f>2*(Мособлдума_партии[[#This Row],[6. Всероссийская политическая партия "ЕДИНАЯ РОССИЯ"]]-(AA$124/100)*Мособлдума_партии[[#This Row],[Число действительных бюллетеней]])</f>
        <v>96.519999999999982</v>
      </c>
      <c r="AX11" s="13">
        <f>(Мособлдума_партии[[#This Row],[Вброс]]+Мособлдума_партии[[#This Row],[Перекладывание]])/2</f>
        <v>84.820606060606039</v>
      </c>
      <c r="AY11" s="13">
        <f>Дума_партии[[#This Row],[Зона ответственности в сен. 2022 г.]]</f>
        <v>0</v>
      </c>
    </row>
    <row r="12" spans="2:51" x14ac:dyDescent="0.4">
      <c r="B12" t="s">
        <v>74</v>
      </c>
      <c r="C12" t="s">
        <v>207</v>
      </c>
      <c r="D12" t="s">
        <v>102</v>
      </c>
      <c r="E12" t="s">
        <v>113</v>
      </c>
      <c r="F12" s="2">
        <f t="shared" ca="1" si="0"/>
        <v>1752</v>
      </c>
      <c r="G12" s="1" t="str">
        <f>Дума_партии[[#This Row],[Местоположение]]</f>
        <v>Наро-Фоминск</v>
      </c>
      <c r="H12">
        <v>1430</v>
      </c>
      <c r="I12" s="1">
        <f>Мособлдума_партии[[#This Row],[Число избирателей, внесенных в список на момент окончания голосования]]</f>
        <v>1430</v>
      </c>
      <c r="J12">
        <v>1400</v>
      </c>
      <c r="K12" s="1"/>
      <c r="L12">
        <v>559</v>
      </c>
      <c r="M12">
        <v>15</v>
      </c>
      <c r="N12" s="3">
        <f t="shared" si="1"/>
        <v>40.13986013986014</v>
      </c>
      <c r="O12" s="3">
        <f t="shared" si="2"/>
        <v>1.048951048951049</v>
      </c>
      <c r="P12">
        <v>826</v>
      </c>
      <c r="Q12">
        <v>15</v>
      </c>
      <c r="R12">
        <v>559</v>
      </c>
      <c r="S12" s="1">
        <f t="shared" si="3"/>
        <v>574</v>
      </c>
      <c r="T12" s="3">
        <f t="shared" si="4"/>
        <v>2.6132404181184667</v>
      </c>
      <c r="U12">
        <v>34</v>
      </c>
      <c r="V12" s="3">
        <f t="shared" si="5"/>
        <v>5.9233449477351918</v>
      </c>
      <c r="W12">
        <v>540</v>
      </c>
      <c r="X12">
        <v>0</v>
      </c>
      <c r="Y12">
        <v>0</v>
      </c>
      <c r="Z12">
        <v>4</v>
      </c>
      <c r="AA12" s="3">
        <f t="shared" si="6"/>
        <v>0.69686411149825789</v>
      </c>
      <c r="AB12">
        <v>68</v>
      </c>
      <c r="AC12" s="3">
        <f t="shared" si="6"/>
        <v>11.846689895470384</v>
      </c>
      <c r="AD12">
        <v>31</v>
      </c>
      <c r="AE12" s="3">
        <f t="shared" si="7"/>
        <v>5.4006968641114979</v>
      </c>
      <c r="AF12">
        <v>44</v>
      </c>
      <c r="AG12" s="3">
        <f t="shared" si="7"/>
        <v>7.6655052264808363</v>
      </c>
      <c r="AH12">
        <v>121</v>
      </c>
      <c r="AI12" s="3">
        <f t="shared" si="8"/>
        <v>21.080139372822298</v>
      </c>
      <c r="AJ12">
        <v>190</v>
      </c>
      <c r="AK12" s="3">
        <f t="shared" si="8"/>
        <v>33.10104529616725</v>
      </c>
      <c r="AL12">
        <v>11</v>
      </c>
      <c r="AM12" s="3">
        <f t="shared" si="9"/>
        <v>1.9163763066202091</v>
      </c>
      <c r="AN12">
        <v>19</v>
      </c>
      <c r="AO12" s="3">
        <f t="shared" si="9"/>
        <v>3.3101045296167246</v>
      </c>
      <c r="AP12">
        <v>7</v>
      </c>
      <c r="AQ12" s="3">
        <f t="shared" si="10"/>
        <v>1.2195121951219512</v>
      </c>
      <c r="AR12">
        <v>45</v>
      </c>
      <c r="AS12" s="3">
        <f t="shared" si="10"/>
        <v>7.8397212543554007</v>
      </c>
      <c r="AT12" t="s">
        <v>208</v>
      </c>
      <c r="AV12"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9.6969696969696599</v>
      </c>
      <c r="AW12" s="13">
        <f>2*(Мособлдума_партии[[#This Row],[6. Всероссийская политическая партия "ЕДИНАЯ РОССИЯ"]]-(AA$124/100)*Мособлдума_партии[[#This Row],[Число действительных бюллетеней]])</f>
        <v>12.799999999999955</v>
      </c>
      <c r="AX12" s="13">
        <f>(Мособлдума_партии[[#This Row],[Вброс]]+Мособлдума_партии[[#This Row],[Перекладывание]])/2</f>
        <v>11.248484848484807</v>
      </c>
      <c r="AY12" s="13">
        <f>Дума_партии[[#This Row],[Зона ответственности в сен. 2022 г.]]</f>
        <v>0</v>
      </c>
    </row>
    <row r="13" spans="2:51" x14ac:dyDescent="0.4">
      <c r="B13" t="s">
        <v>74</v>
      </c>
      <c r="C13" t="s">
        <v>207</v>
      </c>
      <c r="D13" t="s">
        <v>102</v>
      </c>
      <c r="E13" t="s">
        <v>114</v>
      </c>
      <c r="F13" s="2">
        <f t="shared" ca="1" si="0"/>
        <v>1753</v>
      </c>
      <c r="G13" s="1" t="str">
        <f>Дума_партии[[#This Row],[Местоположение]]</f>
        <v>Наро-Фоминск</v>
      </c>
      <c r="H13">
        <v>1038</v>
      </c>
      <c r="I13" s="1">
        <f>Мособлдума_партии[[#This Row],[Число избирателей, внесенных в список на момент окончания голосования]]</f>
        <v>1038</v>
      </c>
      <c r="J13">
        <v>1000</v>
      </c>
      <c r="K13" s="1"/>
      <c r="L13">
        <v>384</v>
      </c>
      <c r="M13">
        <v>10</v>
      </c>
      <c r="N13" s="3">
        <f t="shared" si="1"/>
        <v>37.957610789980734</v>
      </c>
      <c r="O13" s="3">
        <f t="shared" si="2"/>
        <v>0.96339113680154143</v>
      </c>
      <c r="P13">
        <v>606</v>
      </c>
      <c r="Q13">
        <v>10</v>
      </c>
      <c r="R13">
        <v>384</v>
      </c>
      <c r="S13" s="1">
        <f t="shared" si="3"/>
        <v>394</v>
      </c>
      <c r="T13" s="3">
        <f t="shared" si="4"/>
        <v>2.5380710659898478</v>
      </c>
      <c r="U13">
        <v>20</v>
      </c>
      <c r="V13" s="3">
        <f t="shared" si="5"/>
        <v>5.0761421319796955</v>
      </c>
      <c r="W13">
        <v>374</v>
      </c>
      <c r="X13">
        <v>0</v>
      </c>
      <c r="Y13">
        <v>0</v>
      </c>
      <c r="Z13">
        <v>1</v>
      </c>
      <c r="AA13" s="3">
        <f t="shared" si="6"/>
        <v>0.25380710659898476</v>
      </c>
      <c r="AB13">
        <v>39</v>
      </c>
      <c r="AC13" s="3">
        <f t="shared" si="6"/>
        <v>9.8984771573604053</v>
      </c>
      <c r="AD13">
        <v>10</v>
      </c>
      <c r="AE13" s="3">
        <f t="shared" si="7"/>
        <v>2.5380710659898478</v>
      </c>
      <c r="AF13">
        <v>22</v>
      </c>
      <c r="AG13" s="3">
        <f t="shared" si="7"/>
        <v>5.5837563451776653</v>
      </c>
      <c r="AH13">
        <v>66</v>
      </c>
      <c r="AI13" s="3">
        <f t="shared" si="8"/>
        <v>16.751269035532996</v>
      </c>
      <c r="AJ13">
        <v>213</v>
      </c>
      <c r="AK13" s="3">
        <f t="shared" si="8"/>
        <v>54.060913705583758</v>
      </c>
      <c r="AL13">
        <v>5</v>
      </c>
      <c r="AM13" s="3">
        <f t="shared" si="9"/>
        <v>1.2690355329949239</v>
      </c>
      <c r="AN13">
        <v>6</v>
      </c>
      <c r="AO13" s="3">
        <f t="shared" si="9"/>
        <v>1.5228426395939085</v>
      </c>
      <c r="AP13">
        <v>5</v>
      </c>
      <c r="AQ13" s="3">
        <f t="shared" si="10"/>
        <v>1.2690355329949239</v>
      </c>
      <c r="AR13">
        <v>7</v>
      </c>
      <c r="AS13" s="3">
        <f t="shared" si="10"/>
        <v>1.7766497461928934</v>
      </c>
      <c r="AT13" t="s">
        <v>208</v>
      </c>
      <c r="AV13"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130.06060606060606</v>
      </c>
      <c r="AW13" s="13">
        <f>2*(Мособлдума_партии[[#This Row],[6. Всероссийская политическая партия "ЕДИНАЯ РОССИЯ"]]-(AA$124/100)*Мособлдума_партии[[#This Row],[Число действительных бюллетеней]])</f>
        <v>171.67999999999998</v>
      </c>
      <c r="AX13" s="13">
        <f>(Мособлдума_партии[[#This Row],[Вброс]]+Мособлдума_партии[[#This Row],[Перекладывание]])/2</f>
        <v>150.87030303030303</v>
      </c>
      <c r="AY13" s="13">
        <f>Дума_партии[[#This Row],[Зона ответственности в сен. 2022 г.]]</f>
        <v>0</v>
      </c>
    </row>
    <row r="14" spans="2:51" x14ac:dyDescent="0.4">
      <c r="B14" t="s">
        <v>74</v>
      </c>
      <c r="C14" t="s">
        <v>207</v>
      </c>
      <c r="D14" t="s">
        <v>102</v>
      </c>
      <c r="E14" t="s">
        <v>115</v>
      </c>
      <c r="F14" s="2">
        <f t="shared" ca="1" si="0"/>
        <v>1754</v>
      </c>
      <c r="G14" s="1" t="str">
        <f>Дума_партии[[#This Row],[Местоположение]]</f>
        <v>Наро-Фоминск</v>
      </c>
      <c r="H14">
        <v>959</v>
      </c>
      <c r="I14" s="1">
        <f>Мособлдума_партии[[#This Row],[Число избирателей, внесенных в список на момент окончания голосования]]</f>
        <v>959</v>
      </c>
      <c r="J14">
        <v>900</v>
      </c>
      <c r="K14" s="1"/>
      <c r="L14">
        <v>323</v>
      </c>
      <c r="M14">
        <v>26</v>
      </c>
      <c r="N14" s="3">
        <f t="shared" si="1"/>
        <v>36.392075078206467</v>
      </c>
      <c r="O14" s="3">
        <f t="shared" si="2"/>
        <v>2.7111574556830029</v>
      </c>
      <c r="P14">
        <v>551</v>
      </c>
      <c r="Q14">
        <v>26</v>
      </c>
      <c r="R14">
        <v>323</v>
      </c>
      <c r="S14" s="1">
        <f t="shared" si="3"/>
        <v>349</v>
      </c>
      <c r="T14" s="3">
        <f t="shared" si="4"/>
        <v>7.4498567335243555</v>
      </c>
      <c r="U14">
        <v>16</v>
      </c>
      <c r="V14" s="3">
        <f t="shared" si="5"/>
        <v>4.5845272206303722</v>
      </c>
      <c r="W14">
        <v>333</v>
      </c>
      <c r="X14">
        <v>0</v>
      </c>
      <c r="Y14">
        <v>0</v>
      </c>
      <c r="Z14">
        <v>5</v>
      </c>
      <c r="AA14" s="3">
        <f t="shared" si="6"/>
        <v>1.4326647564469914</v>
      </c>
      <c r="AB14">
        <v>25</v>
      </c>
      <c r="AC14" s="3">
        <f t="shared" si="6"/>
        <v>7.1633237822349569</v>
      </c>
      <c r="AD14">
        <v>24</v>
      </c>
      <c r="AE14" s="3">
        <f t="shared" si="7"/>
        <v>6.8767908309455583</v>
      </c>
      <c r="AF14">
        <v>15</v>
      </c>
      <c r="AG14" s="3">
        <f t="shared" si="7"/>
        <v>4.2979942693409745</v>
      </c>
      <c r="AH14">
        <v>92</v>
      </c>
      <c r="AI14" s="3">
        <f t="shared" si="8"/>
        <v>26.361031518624642</v>
      </c>
      <c r="AJ14">
        <v>120</v>
      </c>
      <c r="AK14" s="3">
        <f t="shared" si="8"/>
        <v>34.383954154727796</v>
      </c>
      <c r="AL14">
        <v>9</v>
      </c>
      <c r="AM14" s="3">
        <f t="shared" si="9"/>
        <v>2.5787965616045847</v>
      </c>
      <c r="AN14">
        <v>11</v>
      </c>
      <c r="AO14" s="3">
        <f t="shared" si="9"/>
        <v>3.151862464183381</v>
      </c>
      <c r="AP14">
        <v>11</v>
      </c>
      <c r="AQ14" s="3">
        <f t="shared" si="10"/>
        <v>3.151862464183381</v>
      </c>
      <c r="AR14">
        <v>21</v>
      </c>
      <c r="AS14" s="3">
        <f t="shared" si="10"/>
        <v>6.0171919770773643</v>
      </c>
      <c r="AT14" t="s">
        <v>208</v>
      </c>
      <c r="AV14"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10.272727272727252</v>
      </c>
      <c r="AW14" s="13">
        <f>2*(Мособлдума_партии[[#This Row],[6. Всероссийская политическая партия "ЕДИНАЯ РОССИЯ"]]-(AA$124/100)*Мособлдума_партии[[#This Row],[Число действительных бюллетеней]])</f>
        <v>13.559999999999974</v>
      </c>
      <c r="AX14" s="13">
        <f>(Мособлдума_партии[[#This Row],[Вброс]]+Мособлдума_партии[[#This Row],[Перекладывание]])/2</f>
        <v>11.916363636363613</v>
      </c>
      <c r="AY14" s="13">
        <f>Дума_партии[[#This Row],[Зона ответственности в сен. 2022 г.]]</f>
        <v>0</v>
      </c>
    </row>
    <row r="15" spans="2:51" x14ac:dyDescent="0.4">
      <c r="B15" t="s">
        <v>74</v>
      </c>
      <c r="C15" t="s">
        <v>207</v>
      </c>
      <c r="D15" t="s">
        <v>102</v>
      </c>
      <c r="E15" t="s">
        <v>116</v>
      </c>
      <c r="F15" s="2">
        <f t="shared" ca="1" si="0"/>
        <v>1755</v>
      </c>
      <c r="G15" s="1" t="str">
        <f>Дума_партии[[#This Row],[Местоположение]]</f>
        <v>Наро-Фоминск</v>
      </c>
      <c r="H15">
        <v>1477</v>
      </c>
      <c r="I15" s="1">
        <f>Мособлдума_партии[[#This Row],[Число избирателей, внесенных в список на момент окончания голосования]]</f>
        <v>1477</v>
      </c>
      <c r="J15">
        <v>1500</v>
      </c>
      <c r="K15" s="1"/>
      <c r="L15">
        <v>519</v>
      </c>
      <c r="M15">
        <v>9</v>
      </c>
      <c r="N15" s="3">
        <f t="shared" si="1"/>
        <v>35.748138117806363</v>
      </c>
      <c r="O15" s="3">
        <f t="shared" si="2"/>
        <v>0.60934326337169942</v>
      </c>
      <c r="P15">
        <v>972</v>
      </c>
      <c r="Q15">
        <v>9</v>
      </c>
      <c r="R15">
        <v>519</v>
      </c>
      <c r="S15" s="1">
        <f t="shared" si="3"/>
        <v>528</v>
      </c>
      <c r="T15" s="3">
        <f t="shared" si="4"/>
        <v>1.7045454545454546</v>
      </c>
      <c r="U15">
        <v>26</v>
      </c>
      <c r="V15" s="3">
        <f t="shared" si="5"/>
        <v>4.9242424242424239</v>
      </c>
      <c r="W15">
        <v>502</v>
      </c>
      <c r="X15">
        <v>0</v>
      </c>
      <c r="Y15">
        <v>0</v>
      </c>
      <c r="Z15">
        <v>7</v>
      </c>
      <c r="AA15" s="3">
        <f t="shared" si="6"/>
        <v>1.3257575757575757</v>
      </c>
      <c r="AB15">
        <v>56</v>
      </c>
      <c r="AC15" s="3">
        <f t="shared" si="6"/>
        <v>10.606060606060606</v>
      </c>
      <c r="AD15">
        <v>41</v>
      </c>
      <c r="AE15" s="3">
        <f t="shared" si="7"/>
        <v>7.7651515151515156</v>
      </c>
      <c r="AF15">
        <v>24</v>
      </c>
      <c r="AG15" s="3">
        <f t="shared" si="7"/>
        <v>4.5454545454545459</v>
      </c>
      <c r="AH15">
        <v>106</v>
      </c>
      <c r="AI15" s="3">
        <f t="shared" si="8"/>
        <v>20.075757575757574</v>
      </c>
      <c r="AJ15">
        <v>189</v>
      </c>
      <c r="AK15" s="3">
        <f t="shared" si="8"/>
        <v>35.795454545454547</v>
      </c>
      <c r="AL15">
        <v>16</v>
      </c>
      <c r="AM15" s="3">
        <f t="shared" si="9"/>
        <v>3.0303030303030303</v>
      </c>
      <c r="AN15">
        <v>8</v>
      </c>
      <c r="AO15" s="3">
        <f t="shared" si="9"/>
        <v>1.5151515151515151</v>
      </c>
      <c r="AP15">
        <v>12</v>
      </c>
      <c r="AQ15" s="3">
        <f t="shared" si="10"/>
        <v>2.2727272727272729</v>
      </c>
      <c r="AR15">
        <v>43</v>
      </c>
      <c r="AS15" s="3">
        <f t="shared" si="10"/>
        <v>8.1439393939393945</v>
      </c>
      <c r="AT15" t="s">
        <v>208</v>
      </c>
      <c r="AV15"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27.757575757575722</v>
      </c>
      <c r="AW15" s="13">
        <f>2*(Мособлдума_партии[[#This Row],[6. Всероссийская политическая партия "ЕДИНАЯ РОССИЯ"]]-(AA$124/100)*Мособлдума_партии[[#This Row],[Число действительных бюллетеней]])</f>
        <v>36.639999999999986</v>
      </c>
      <c r="AX15" s="13">
        <f>(Мособлдума_партии[[#This Row],[Вброс]]+Мособлдума_партии[[#This Row],[Перекладывание]])/2</f>
        <v>32.198787878787854</v>
      </c>
      <c r="AY15" s="13">
        <f>Дума_партии[[#This Row],[Зона ответственности в сен. 2022 г.]]</f>
        <v>0</v>
      </c>
    </row>
    <row r="16" spans="2:51" x14ac:dyDescent="0.4">
      <c r="B16" t="s">
        <v>74</v>
      </c>
      <c r="C16" t="s">
        <v>207</v>
      </c>
      <c r="D16" t="s">
        <v>102</v>
      </c>
      <c r="E16" t="s">
        <v>117</v>
      </c>
      <c r="F16" s="2">
        <f t="shared" ca="1" si="0"/>
        <v>1756</v>
      </c>
      <c r="G16" s="1" t="str">
        <f>Дума_партии[[#This Row],[Местоположение]]</f>
        <v>Наро-Фоминск</v>
      </c>
      <c r="H16">
        <v>1129</v>
      </c>
      <c r="I16" s="1">
        <f>Мособлдума_партии[[#This Row],[Число избирателей, внесенных в список на момент окончания голосования]]</f>
        <v>1129</v>
      </c>
      <c r="J16">
        <v>1000</v>
      </c>
      <c r="K16" s="1"/>
      <c r="L16">
        <v>383</v>
      </c>
      <c r="M16">
        <v>2</v>
      </c>
      <c r="N16" s="3">
        <f t="shared" si="1"/>
        <v>34.100974313551816</v>
      </c>
      <c r="O16" s="3">
        <f t="shared" si="2"/>
        <v>0.17714791851195749</v>
      </c>
      <c r="P16">
        <v>615</v>
      </c>
      <c r="Q16">
        <v>2</v>
      </c>
      <c r="R16">
        <v>383</v>
      </c>
      <c r="S16" s="1">
        <f t="shared" si="3"/>
        <v>385</v>
      </c>
      <c r="T16" s="3">
        <f t="shared" si="4"/>
        <v>0.51948051948051943</v>
      </c>
      <c r="U16">
        <v>57</v>
      </c>
      <c r="V16" s="3">
        <f t="shared" si="5"/>
        <v>14.805194805194805</v>
      </c>
      <c r="W16">
        <v>328</v>
      </c>
      <c r="X16">
        <v>0</v>
      </c>
      <c r="Y16">
        <v>0</v>
      </c>
      <c r="Z16">
        <v>5</v>
      </c>
      <c r="AA16" s="3">
        <f t="shared" si="6"/>
        <v>1.2987012987012987</v>
      </c>
      <c r="AB16">
        <v>41</v>
      </c>
      <c r="AC16" s="3">
        <f t="shared" si="6"/>
        <v>10.64935064935065</v>
      </c>
      <c r="AD16">
        <v>32</v>
      </c>
      <c r="AE16" s="3">
        <f t="shared" si="7"/>
        <v>8.3116883116883109</v>
      </c>
      <c r="AF16">
        <v>22</v>
      </c>
      <c r="AG16" s="3">
        <f t="shared" si="7"/>
        <v>5.7142857142857144</v>
      </c>
      <c r="AH16">
        <v>47</v>
      </c>
      <c r="AI16" s="3">
        <f t="shared" si="8"/>
        <v>12.207792207792208</v>
      </c>
      <c r="AJ16">
        <v>136</v>
      </c>
      <c r="AK16" s="3">
        <f t="shared" si="8"/>
        <v>35.324675324675326</v>
      </c>
      <c r="AL16">
        <v>4</v>
      </c>
      <c r="AM16" s="3">
        <f t="shared" si="9"/>
        <v>1.0389610389610389</v>
      </c>
      <c r="AN16">
        <v>7</v>
      </c>
      <c r="AO16" s="3">
        <f t="shared" si="9"/>
        <v>1.8181818181818181</v>
      </c>
      <c r="AP16">
        <v>7</v>
      </c>
      <c r="AQ16" s="3">
        <f t="shared" si="10"/>
        <v>1.8181818181818181</v>
      </c>
      <c r="AR16">
        <v>27</v>
      </c>
      <c r="AS16" s="3">
        <f t="shared" si="10"/>
        <v>7.0129870129870131</v>
      </c>
      <c r="AT16" t="s">
        <v>208</v>
      </c>
      <c r="AV16"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37.090909090909065</v>
      </c>
      <c r="AW16" s="13">
        <f>2*(Мособлдума_партии[[#This Row],[6. Всероссийская политическая партия "ЕДИНАЯ РОССИЯ"]]-(AA$124/100)*Мособлдума_партии[[#This Row],[Число действительных бюллетеней]])</f>
        <v>48.95999999999998</v>
      </c>
      <c r="AX16" s="13">
        <f>(Мособлдума_партии[[#This Row],[Вброс]]+Мособлдума_партии[[#This Row],[Перекладывание]])/2</f>
        <v>43.025454545454522</v>
      </c>
      <c r="AY16" s="13">
        <f>Дума_партии[[#This Row],[Зона ответственности в сен. 2022 г.]]</f>
        <v>0</v>
      </c>
    </row>
    <row r="17" spans="2:51" x14ac:dyDescent="0.4">
      <c r="B17" t="s">
        <v>74</v>
      </c>
      <c r="C17" t="s">
        <v>207</v>
      </c>
      <c r="D17" t="s">
        <v>102</v>
      </c>
      <c r="E17" t="s">
        <v>118</v>
      </c>
      <c r="F17" s="2">
        <f t="shared" ca="1" si="0"/>
        <v>1757</v>
      </c>
      <c r="G17" s="1" t="str">
        <f>Дума_партии[[#This Row],[Местоположение]]</f>
        <v>Наро-Фоминск</v>
      </c>
      <c r="H17">
        <v>1431</v>
      </c>
      <c r="I17" s="1">
        <f>Мособлдума_партии[[#This Row],[Число избирателей, внесенных в список на момент окончания голосования]]</f>
        <v>1431</v>
      </c>
      <c r="J17">
        <v>1400</v>
      </c>
      <c r="K17" s="1"/>
      <c r="L17">
        <v>454</v>
      </c>
      <c r="M17">
        <v>8</v>
      </c>
      <c r="N17" s="3">
        <f t="shared" si="1"/>
        <v>32.285115303983225</v>
      </c>
      <c r="O17" s="3">
        <f t="shared" si="2"/>
        <v>0.55904961565338929</v>
      </c>
      <c r="P17">
        <v>938</v>
      </c>
      <c r="Q17">
        <v>8</v>
      </c>
      <c r="R17">
        <v>451</v>
      </c>
      <c r="S17" s="1">
        <f t="shared" si="3"/>
        <v>459</v>
      </c>
      <c r="T17" s="3">
        <f t="shared" si="4"/>
        <v>1.7429193899782136</v>
      </c>
      <c r="U17">
        <v>47</v>
      </c>
      <c r="V17" s="3">
        <f t="shared" si="5"/>
        <v>10.239651416122005</v>
      </c>
      <c r="W17">
        <v>412</v>
      </c>
      <c r="X17">
        <v>0</v>
      </c>
      <c r="Y17">
        <v>0</v>
      </c>
      <c r="Z17">
        <v>13</v>
      </c>
      <c r="AA17" s="3">
        <f t="shared" si="6"/>
        <v>2.8322440087145968</v>
      </c>
      <c r="AB17">
        <v>62</v>
      </c>
      <c r="AC17" s="3">
        <f t="shared" si="6"/>
        <v>13.507625272331154</v>
      </c>
      <c r="AD17">
        <v>32</v>
      </c>
      <c r="AE17" s="3">
        <f t="shared" si="7"/>
        <v>6.9716775599128544</v>
      </c>
      <c r="AF17">
        <v>21</v>
      </c>
      <c r="AG17" s="3">
        <f t="shared" si="7"/>
        <v>4.5751633986928102</v>
      </c>
      <c r="AH17">
        <v>92</v>
      </c>
      <c r="AI17" s="3">
        <f t="shared" si="8"/>
        <v>20.043572984749456</v>
      </c>
      <c r="AJ17">
        <v>134</v>
      </c>
      <c r="AK17" s="3">
        <f t="shared" si="8"/>
        <v>29.193899782135077</v>
      </c>
      <c r="AL17">
        <v>12</v>
      </c>
      <c r="AM17" s="3">
        <f t="shared" si="9"/>
        <v>2.6143790849673203</v>
      </c>
      <c r="AN17">
        <v>14</v>
      </c>
      <c r="AO17" s="3">
        <f t="shared" si="9"/>
        <v>3.0501089324618738</v>
      </c>
      <c r="AP17">
        <v>4</v>
      </c>
      <c r="AQ17" s="3">
        <f t="shared" si="10"/>
        <v>0.8714596949891068</v>
      </c>
      <c r="AR17">
        <v>28</v>
      </c>
      <c r="AS17" s="3">
        <f t="shared" si="10"/>
        <v>6.1002178649237475</v>
      </c>
      <c r="AT17" t="s">
        <v>208</v>
      </c>
      <c r="AV17"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-9.2121212121212466</v>
      </c>
      <c r="AW17" s="13">
        <f>2*(Мособлдума_партии[[#This Row],[6. Всероссийская политическая партия "ЕДИНАЯ РОССИЯ"]]-(AA$124/100)*Мособлдума_партии[[#This Row],[Число действительных бюллетеней]])</f>
        <v>-12.160000000000025</v>
      </c>
      <c r="AX17" s="13">
        <f>(Мособлдума_партии[[#This Row],[Вброс]]+Мособлдума_партии[[#This Row],[Перекладывание]])/2</f>
        <v>-10.686060606060636</v>
      </c>
      <c r="AY17" s="13">
        <f>Дума_партии[[#This Row],[Зона ответственности в сен. 2022 г.]]</f>
        <v>0</v>
      </c>
    </row>
    <row r="18" spans="2:51" x14ac:dyDescent="0.4">
      <c r="B18" t="s">
        <v>74</v>
      </c>
      <c r="C18" t="s">
        <v>207</v>
      </c>
      <c r="D18" t="s">
        <v>102</v>
      </c>
      <c r="E18" t="s">
        <v>119</v>
      </c>
      <c r="F18" s="2">
        <f t="shared" ca="1" si="0"/>
        <v>1758</v>
      </c>
      <c r="G18" s="1" t="str">
        <f>Дума_партии[[#This Row],[Местоположение]]</f>
        <v>Наро-Фоминск</v>
      </c>
      <c r="H18">
        <v>1118</v>
      </c>
      <c r="I18" s="1">
        <f>Мособлдума_партии[[#This Row],[Число избирателей, внесенных в список на момент окончания голосования]]</f>
        <v>1118</v>
      </c>
      <c r="J18">
        <v>1100</v>
      </c>
      <c r="K18" s="1"/>
      <c r="L18">
        <v>374</v>
      </c>
      <c r="M18">
        <v>35</v>
      </c>
      <c r="N18" s="3">
        <f t="shared" si="1"/>
        <v>36.583184257602859</v>
      </c>
      <c r="O18" s="3">
        <f t="shared" si="2"/>
        <v>3.1305903398926653</v>
      </c>
      <c r="P18">
        <v>691</v>
      </c>
      <c r="Q18">
        <v>35</v>
      </c>
      <c r="R18">
        <v>374</v>
      </c>
      <c r="S18" s="1">
        <f t="shared" si="3"/>
        <v>409</v>
      </c>
      <c r="T18" s="3">
        <f t="shared" si="4"/>
        <v>8.5574572127139366</v>
      </c>
      <c r="U18">
        <v>27</v>
      </c>
      <c r="V18" s="3">
        <f t="shared" si="5"/>
        <v>6.6014669926650367</v>
      </c>
      <c r="W18">
        <v>382</v>
      </c>
      <c r="X18">
        <v>0</v>
      </c>
      <c r="Y18">
        <v>0</v>
      </c>
      <c r="Z18">
        <v>7</v>
      </c>
      <c r="AA18" s="3">
        <f t="shared" si="6"/>
        <v>1.7114914425427872</v>
      </c>
      <c r="AB18">
        <v>27</v>
      </c>
      <c r="AC18" s="3">
        <f t="shared" si="6"/>
        <v>6.6014669926650367</v>
      </c>
      <c r="AD18">
        <v>30</v>
      </c>
      <c r="AE18" s="3">
        <f t="shared" si="7"/>
        <v>7.3349633251833737</v>
      </c>
      <c r="AF18">
        <v>30</v>
      </c>
      <c r="AG18" s="3">
        <f t="shared" si="7"/>
        <v>7.3349633251833737</v>
      </c>
      <c r="AH18">
        <v>88</v>
      </c>
      <c r="AI18" s="3">
        <f t="shared" si="8"/>
        <v>21.515892420537899</v>
      </c>
      <c r="AJ18">
        <v>131</v>
      </c>
      <c r="AK18" s="3">
        <f t="shared" si="8"/>
        <v>32.029339853300733</v>
      </c>
      <c r="AL18">
        <v>9</v>
      </c>
      <c r="AM18" s="3">
        <f t="shared" si="9"/>
        <v>2.2004889975550124</v>
      </c>
      <c r="AN18">
        <v>8</v>
      </c>
      <c r="AO18" s="3">
        <f t="shared" si="9"/>
        <v>1.9559902200488997</v>
      </c>
      <c r="AP18">
        <v>10</v>
      </c>
      <c r="AQ18" s="3">
        <f t="shared" si="10"/>
        <v>2.4449877750611249</v>
      </c>
      <c r="AR18">
        <v>42</v>
      </c>
      <c r="AS18" s="3">
        <f t="shared" si="10"/>
        <v>10.268948655256724</v>
      </c>
      <c r="AT18" t="s">
        <v>208</v>
      </c>
      <c r="AV18"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1.6969696969696599</v>
      </c>
      <c r="AW18" s="13">
        <f>2*(Мособлдума_партии[[#This Row],[6. Всероссийская политическая партия "ЕДИНАЯ РОССИЯ"]]-(AA$124/100)*Мособлдума_партии[[#This Row],[Число действительных бюллетеней]])</f>
        <v>2.2400000000000091</v>
      </c>
      <c r="AX18" s="13">
        <f>(Мособлдума_партии[[#This Row],[Вброс]]+Мособлдума_партии[[#This Row],[Перекладывание]])/2</f>
        <v>1.9684848484848345</v>
      </c>
      <c r="AY18" s="13">
        <f>Дума_партии[[#This Row],[Зона ответственности в сен. 2022 г.]]</f>
        <v>0</v>
      </c>
    </row>
    <row r="19" spans="2:51" x14ac:dyDescent="0.4">
      <c r="B19" t="s">
        <v>74</v>
      </c>
      <c r="C19" t="s">
        <v>207</v>
      </c>
      <c r="D19" t="s">
        <v>102</v>
      </c>
      <c r="E19" t="s">
        <v>120</v>
      </c>
      <c r="F19" s="2">
        <f t="shared" ca="1" si="0"/>
        <v>1759</v>
      </c>
      <c r="G19" s="1" t="str">
        <f>Дума_партии[[#This Row],[Местоположение]]</f>
        <v>Наро-Фоминск</v>
      </c>
      <c r="H19">
        <v>1091</v>
      </c>
      <c r="I19" s="1">
        <f>Мособлдума_партии[[#This Row],[Число избирателей, внесенных в список на момент окончания голосования]]</f>
        <v>1091</v>
      </c>
      <c r="J19">
        <v>800</v>
      </c>
      <c r="K19" s="1"/>
      <c r="L19">
        <v>406</v>
      </c>
      <c r="M19">
        <v>34</v>
      </c>
      <c r="N19" s="3">
        <f t="shared" si="1"/>
        <v>40.329972502291476</v>
      </c>
      <c r="O19" s="3">
        <f t="shared" si="2"/>
        <v>3.1164069660861595</v>
      </c>
      <c r="P19">
        <v>360</v>
      </c>
      <c r="Q19">
        <v>34</v>
      </c>
      <c r="R19">
        <v>406</v>
      </c>
      <c r="S19" s="1">
        <f t="shared" si="3"/>
        <v>440</v>
      </c>
      <c r="T19" s="3">
        <f t="shared" si="4"/>
        <v>7.7272727272727275</v>
      </c>
      <c r="U19">
        <v>15</v>
      </c>
      <c r="V19" s="3">
        <f t="shared" si="5"/>
        <v>3.4090909090909092</v>
      </c>
      <c r="W19">
        <v>425</v>
      </c>
      <c r="X19">
        <v>0</v>
      </c>
      <c r="Y19">
        <v>0</v>
      </c>
      <c r="Z19">
        <v>2</v>
      </c>
      <c r="AA19" s="3">
        <f t="shared" si="6"/>
        <v>0.45454545454545453</v>
      </c>
      <c r="AB19">
        <v>30</v>
      </c>
      <c r="AC19" s="3">
        <f t="shared" si="6"/>
        <v>6.8181818181818183</v>
      </c>
      <c r="AD19">
        <v>17</v>
      </c>
      <c r="AE19" s="3">
        <f t="shared" ref="AE19:AG34" si="11">100*AD19/$S19</f>
        <v>3.8636363636363638</v>
      </c>
      <c r="AF19">
        <v>19</v>
      </c>
      <c r="AG19" s="3">
        <f t="shared" si="11"/>
        <v>4.3181818181818183</v>
      </c>
      <c r="AH19">
        <v>57</v>
      </c>
      <c r="AI19" s="3">
        <f t="shared" ref="AI19:AK34" si="12">100*AH19/$S19</f>
        <v>12.954545454545455</v>
      </c>
      <c r="AJ19">
        <v>264</v>
      </c>
      <c r="AK19" s="3">
        <f t="shared" si="12"/>
        <v>60</v>
      </c>
      <c r="AL19">
        <v>3</v>
      </c>
      <c r="AM19" s="3">
        <f t="shared" ref="AM19:AO34" si="13">100*AL19/$S19</f>
        <v>0.68181818181818177</v>
      </c>
      <c r="AN19">
        <v>9</v>
      </c>
      <c r="AO19" s="3">
        <f t="shared" si="13"/>
        <v>2.0454545454545454</v>
      </c>
      <c r="AP19">
        <v>9</v>
      </c>
      <c r="AQ19" s="3">
        <f t="shared" ref="AQ19:AS34" si="14">100*AP19/$S19</f>
        <v>2.0454545454545454</v>
      </c>
      <c r="AR19">
        <v>15</v>
      </c>
      <c r="AS19" s="3">
        <f t="shared" si="14"/>
        <v>3.4090909090909092</v>
      </c>
      <c r="AT19" t="s">
        <v>208</v>
      </c>
      <c r="AV19"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181.06060606060606</v>
      </c>
      <c r="AW19" s="13">
        <f>2*(Мособлдума_партии[[#This Row],[6. Всероссийская политическая партия "ЕДИНАЯ РОССИЯ"]]-(AA$124/100)*Мособлдума_партии[[#This Row],[Число действительных бюллетеней]])</f>
        <v>239</v>
      </c>
      <c r="AX19" s="13">
        <f>(Мособлдума_партии[[#This Row],[Вброс]]+Мособлдума_партии[[#This Row],[Перекладывание]])/2</f>
        <v>210.03030303030303</v>
      </c>
      <c r="AY19" s="13">
        <f>Дума_партии[[#This Row],[Зона ответственности в сен. 2022 г.]]</f>
        <v>0</v>
      </c>
    </row>
    <row r="20" spans="2:51" x14ac:dyDescent="0.4">
      <c r="B20" t="s">
        <v>74</v>
      </c>
      <c r="C20" t="s">
        <v>207</v>
      </c>
      <c r="D20" t="s">
        <v>102</v>
      </c>
      <c r="E20" t="s">
        <v>121</v>
      </c>
      <c r="F20" s="2">
        <f t="shared" ca="1" si="0"/>
        <v>1760</v>
      </c>
      <c r="G20" s="1" t="str">
        <f>Дума_партии[[#This Row],[Местоположение]]</f>
        <v>Ивановка</v>
      </c>
      <c r="H20">
        <v>353</v>
      </c>
      <c r="I20" s="1">
        <f>Мособлдума_партии[[#This Row],[Число избирателей, внесенных в список на момент окончания голосования]]</f>
        <v>353</v>
      </c>
      <c r="J20">
        <v>300</v>
      </c>
      <c r="K20" s="1"/>
      <c r="L20">
        <v>117</v>
      </c>
      <c r="M20">
        <v>51</v>
      </c>
      <c r="N20" s="3">
        <f t="shared" si="1"/>
        <v>47.592067988668553</v>
      </c>
      <c r="O20" s="3">
        <f t="shared" si="2"/>
        <v>14.447592067988669</v>
      </c>
      <c r="P20">
        <v>132</v>
      </c>
      <c r="Q20">
        <v>51</v>
      </c>
      <c r="R20">
        <v>117</v>
      </c>
      <c r="S20" s="1">
        <f t="shared" si="3"/>
        <v>168</v>
      </c>
      <c r="T20" s="3">
        <f t="shared" si="4"/>
        <v>30.357142857142858</v>
      </c>
      <c r="U20">
        <v>4</v>
      </c>
      <c r="V20" s="3">
        <f t="shared" si="5"/>
        <v>2.3809523809523809</v>
      </c>
      <c r="W20">
        <v>164</v>
      </c>
      <c r="X20">
        <v>0</v>
      </c>
      <c r="Y20">
        <v>0</v>
      </c>
      <c r="Z20">
        <v>3</v>
      </c>
      <c r="AA20" s="3">
        <f t="shared" si="6"/>
        <v>1.7857142857142858</v>
      </c>
      <c r="AB20">
        <v>17</v>
      </c>
      <c r="AC20" s="3">
        <f t="shared" si="6"/>
        <v>10.119047619047619</v>
      </c>
      <c r="AD20">
        <v>8</v>
      </c>
      <c r="AE20" s="3">
        <f t="shared" si="11"/>
        <v>4.7619047619047619</v>
      </c>
      <c r="AF20">
        <v>2</v>
      </c>
      <c r="AG20" s="3">
        <f t="shared" si="11"/>
        <v>1.1904761904761905</v>
      </c>
      <c r="AH20">
        <v>27</v>
      </c>
      <c r="AI20" s="3">
        <f t="shared" si="12"/>
        <v>16.071428571428573</v>
      </c>
      <c r="AJ20">
        <v>93</v>
      </c>
      <c r="AK20" s="3">
        <f t="shared" si="12"/>
        <v>55.357142857142854</v>
      </c>
      <c r="AL20">
        <v>3</v>
      </c>
      <c r="AM20" s="3">
        <f t="shared" si="13"/>
        <v>1.7857142857142858</v>
      </c>
      <c r="AN20">
        <v>2</v>
      </c>
      <c r="AO20" s="3">
        <f t="shared" si="13"/>
        <v>1.1904761904761905</v>
      </c>
      <c r="AP20">
        <v>4</v>
      </c>
      <c r="AQ20" s="3">
        <f t="shared" si="14"/>
        <v>2.3809523809523809</v>
      </c>
      <c r="AR20">
        <v>5</v>
      </c>
      <c r="AS20" s="3">
        <f t="shared" si="14"/>
        <v>2.9761904761904763</v>
      </c>
      <c r="AT20" t="s">
        <v>208</v>
      </c>
      <c r="AV20"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56.424242424242415</v>
      </c>
      <c r="AW20" s="13">
        <f>2*(Мособлдума_партии[[#This Row],[6. Всероссийская политическая партия "ЕДИНАЯ РОССИЯ"]]-(AA$124/100)*Мособлдума_партии[[#This Row],[Число действительных бюллетеней]])</f>
        <v>74.47999999999999</v>
      </c>
      <c r="AX20" s="13">
        <f>(Мособлдума_партии[[#This Row],[Вброс]]+Мособлдума_партии[[#This Row],[Перекладывание]])/2</f>
        <v>65.452121212121199</v>
      </c>
      <c r="AY20" s="13">
        <f>Дума_партии[[#This Row],[Зона ответственности в сен. 2022 г.]]</f>
        <v>0</v>
      </c>
    </row>
    <row r="21" spans="2:51" x14ac:dyDescent="0.4">
      <c r="B21" t="s">
        <v>74</v>
      </c>
      <c r="C21" t="s">
        <v>207</v>
      </c>
      <c r="D21" t="s">
        <v>102</v>
      </c>
      <c r="E21" t="s">
        <v>122</v>
      </c>
      <c r="F21" s="2">
        <f t="shared" ca="1" si="0"/>
        <v>1761</v>
      </c>
      <c r="G21" s="1" t="str">
        <f>Дума_партии[[#This Row],[Местоположение]]</f>
        <v>Наро-Фоминск</v>
      </c>
      <c r="H21">
        <v>1500</v>
      </c>
      <c r="I21" s="1">
        <f>Мособлдума_партии[[#This Row],[Число избирателей, внесенных в список на момент окончания голосования]]</f>
        <v>1500</v>
      </c>
      <c r="J21">
        <v>1500</v>
      </c>
      <c r="K21" s="1"/>
      <c r="L21">
        <v>631</v>
      </c>
      <c r="M21">
        <v>13</v>
      </c>
      <c r="N21" s="3">
        <f t="shared" si="1"/>
        <v>42.93333333333333</v>
      </c>
      <c r="O21" s="3">
        <f t="shared" si="2"/>
        <v>0.8666666666666667</v>
      </c>
      <c r="P21">
        <v>856</v>
      </c>
      <c r="Q21">
        <v>13</v>
      </c>
      <c r="R21">
        <v>631</v>
      </c>
      <c r="S21" s="1">
        <f t="shared" si="3"/>
        <v>644</v>
      </c>
      <c r="T21" s="3">
        <f t="shared" si="4"/>
        <v>2.018633540372671</v>
      </c>
      <c r="U21">
        <v>38</v>
      </c>
      <c r="V21" s="3">
        <f t="shared" si="5"/>
        <v>5.9006211180124222</v>
      </c>
      <c r="W21">
        <v>606</v>
      </c>
      <c r="X21">
        <v>0</v>
      </c>
      <c r="Y21">
        <v>0</v>
      </c>
      <c r="Z21">
        <v>11</v>
      </c>
      <c r="AA21" s="3">
        <f t="shared" si="6"/>
        <v>1.7080745341614907</v>
      </c>
      <c r="AB21">
        <v>51</v>
      </c>
      <c r="AC21" s="3">
        <f t="shared" si="6"/>
        <v>7.9192546583850936</v>
      </c>
      <c r="AD21">
        <v>38</v>
      </c>
      <c r="AE21" s="3">
        <f t="shared" si="11"/>
        <v>5.9006211180124222</v>
      </c>
      <c r="AF21">
        <v>38</v>
      </c>
      <c r="AG21" s="3">
        <f t="shared" si="11"/>
        <v>5.9006211180124222</v>
      </c>
      <c r="AH21">
        <v>155</v>
      </c>
      <c r="AI21" s="3">
        <f t="shared" si="12"/>
        <v>24.06832298136646</v>
      </c>
      <c r="AJ21">
        <v>209</v>
      </c>
      <c r="AK21" s="3">
        <f t="shared" si="12"/>
        <v>32.453416149068325</v>
      </c>
      <c r="AL21">
        <v>18</v>
      </c>
      <c r="AM21" s="3">
        <f t="shared" si="13"/>
        <v>2.7950310559006213</v>
      </c>
      <c r="AN21">
        <v>24</v>
      </c>
      <c r="AO21" s="3">
        <f t="shared" si="13"/>
        <v>3.7267080745341614</v>
      </c>
      <c r="AP21">
        <v>12</v>
      </c>
      <c r="AQ21" s="3">
        <f t="shared" si="14"/>
        <v>1.8633540372670807</v>
      </c>
      <c r="AR21">
        <v>50</v>
      </c>
      <c r="AS21" s="3">
        <f t="shared" si="14"/>
        <v>7.7639751552795033</v>
      </c>
      <c r="AT21" t="s">
        <v>208</v>
      </c>
      <c r="AV21"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4.4848484848484418</v>
      </c>
      <c r="AW21" s="13">
        <f>2*(Мособлдума_партии[[#This Row],[6. Всероссийская политическая партия "ЕДИНАЯ РОССИЯ"]]-(AA$124/100)*Мособлдума_партии[[#This Row],[Число действительных бюллетеней]])</f>
        <v>5.9199999999999591</v>
      </c>
      <c r="AX21" s="13">
        <f>(Мособлдума_партии[[#This Row],[Вброс]]+Мособлдума_партии[[#This Row],[Перекладывание]])/2</f>
        <v>5.2024242424242004</v>
      </c>
      <c r="AY21" s="13">
        <f>Дума_партии[[#This Row],[Зона ответственности в сен. 2022 г.]]</f>
        <v>0</v>
      </c>
    </row>
    <row r="22" spans="2:51" x14ac:dyDescent="0.4">
      <c r="B22" t="s">
        <v>74</v>
      </c>
      <c r="C22" t="s">
        <v>207</v>
      </c>
      <c r="D22" t="s">
        <v>102</v>
      </c>
      <c r="E22" t="s">
        <v>123</v>
      </c>
      <c r="F22" s="2">
        <f t="shared" ca="1" si="0"/>
        <v>1762</v>
      </c>
      <c r="G22" s="1" t="str">
        <f>Дума_партии[[#This Row],[Местоположение]]</f>
        <v>Наро-Фоминск</v>
      </c>
      <c r="H22">
        <v>1589</v>
      </c>
      <c r="I22" s="1">
        <f>Мособлдума_партии[[#This Row],[Число избирателей, внесенных в список на момент окончания голосования]]</f>
        <v>1589</v>
      </c>
      <c r="J22">
        <v>1500</v>
      </c>
      <c r="K22" s="1"/>
      <c r="L22">
        <v>637</v>
      </c>
      <c r="M22">
        <v>3</v>
      </c>
      <c r="N22" s="3">
        <f t="shared" si="1"/>
        <v>40.27690371302706</v>
      </c>
      <c r="O22" s="3">
        <f t="shared" si="2"/>
        <v>0.18879798615481436</v>
      </c>
      <c r="P22">
        <v>860</v>
      </c>
      <c r="Q22">
        <v>3</v>
      </c>
      <c r="R22">
        <v>637</v>
      </c>
      <c r="S22" s="1">
        <f t="shared" si="3"/>
        <v>640</v>
      </c>
      <c r="T22" s="3">
        <f t="shared" si="4"/>
        <v>0.46875</v>
      </c>
      <c r="U22">
        <v>30</v>
      </c>
      <c r="V22" s="3">
        <f t="shared" si="5"/>
        <v>4.6875</v>
      </c>
      <c r="W22">
        <v>610</v>
      </c>
      <c r="X22">
        <v>0</v>
      </c>
      <c r="Y22">
        <v>0</v>
      </c>
      <c r="Z22">
        <v>9</v>
      </c>
      <c r="AA22" s="3">
        <f t="shared" si="6"/>
        <v>1.40625</v>
      </c>
      <c r="AB22">
        <v>63</v>
      </c>
      <c r="AC22" s="3">
        <f t="shared" si="6"/>
        <v>9.84375</v>
      </c>
      <c r="AD22">
        <v>55</v>
      </c>
      <c r="AE22" s="3">
        <f t="shared" si="11"/>
        <v>8.59375</v>
      </c>
      <c r="AF22">
        <v>36</v>
      </c>
      <c r="AG22" s="3">
        <f t="shared" si="11"/>
        <v>5.625</v>
      </c>
      <c r="AH22">
        <v>131</v>
      </c>
      <c r="AI22" s="3">
        <f t="shared" si="12"/>
        <v>20.46875</v>
      </c>
      <c r="AJ22">
        <v>216</v>
      </c>
      <c r="AK22" s="3">
        <f t="shared" si="12"/>
        <v>33.75</v>
      </c>
      <c r="AL22">
        <v>17</v>
      </c>
      <c r="AM22" s="3">
        <f t="shared" si="13"/>
        <v>2.65625</v>
      </c>
      <c r="AN22">
        <v>24</v>
      </c>
      <c r="AO22" s="3">
        <f t="shared" si="13"/>
        <v>3.75</v>
      </c>
      <c r="AP22">
        <v>12</v>
      </c>
      <c r="AQ22" s="3">
        <f t="shared" si="14"/>
        <v>1.875</v>
      </c>
      <c r="AR22">
        <v>47</v>
      </c>
      <c r="AS22" s="3">
        <f t="shared" si="14"/>
        <v>7.34375</v>
      </c>
      <c r="AT22" t="s">
        <v>208</v>
      </c>
      <c r="AV22"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13.030303030303003</v>
      </c>
      <c r="AW22" s="13">
        <f>2*(Мособлдума_партии[[#This Row],[6. Всероссийская политическая партия "ЕДИНАЯ РОССИЯ"]]-(AA$124/100)*Мособлдума_партии[[#This Row],[Число действительных бюллетеней]])</f>
        <v>17.199999999999989</v>
      </c>
      <c r="AX22" s="13">
        <f>(Мособлдума_партии[[#This Row],[Вброс]]+Мособлдума_партии[[#This Row],[Перекладывание]])/2</f>
        <v>15.115151515151496</v>
      </c>
      <c r="AY22" s="13">
        <f>Дума_партии[[#This Row],[Зона ответственности в сен. 2022 г.]]</f>
        <v>0</v>
      </c>
    </row>
    <row r="23" spans="2:51" x14ac:dyDescent="0.4">
      <c r="B23" t="s">
        <v>74</v>
      </c>
      <c r="C23" t="s">
        <v>207</v>
      </c>
      <c r="D23" t="s">
        <v>102</v>
      </c>
      <c r="E23" t="s">
        <v>124</v>
      </c>
      <c r="F23" s="2">
        <f t="shared" ca="1" si="0"/>
        <v>1763</v>
      </c>
      <c r="G23" s="1" t="str">
        <f>Дума_партии[[#This Row],[Местоположение]]</f>
        <v>Наро-Фоминск</v>
      </c>
      <c r="H23">
        <v>1373</v>
      </c>
      <c r="I23" s="1">
        <f>Мособлдума_партии[[#This Row],[Число избирателей, внесенных в список на момент окончания голосования]]</f>
        <v>1373</v>
      </c>
      <c r="J23">
        <v>1300</v>
      </c>
      <c r="K23" s="1"/>
      <c r="L23">
        <v>478</v>
      </c>
      <c r="M23">
        <v>34</v>
      </c>
      <c r="N23" s="3">
        <f t="shared" si="1"/>
        <v>37.29060451565914</v>
      </c>
      <c r="O23" s="3">
        <f t="shared" si="2"/>
        <v>2.47632920611799</v>
      </c>
      <c r="P23">
        <v>788</v>
      </c>
      <c r="Q23">
        <v>34</v>
      </c>
      <c r="R23">
        <v>478</v>
      </c>
      <c r="S23" s="1">
        <f t="shared" si="3"/>
        <v>512</v>
      </c>
      <c r="T23" s="3">
        <f t="shared" si="4"/>
        <v>6.640625</v>
      </c>
      <c r="U23">
        <v>24</v>
      </c>
      <c r="V23" s="3">
        <f t="shared" si="5"/>
        <v>4.6875</v>
      </c>
      <c r="W23">
        <v>488</v>
      </c>
      <c r="X23">
        <v>0</v>
      </c>
      <c r="Y23">
        <v>0</v>
      </c>
      <c r="Z23">
        <v>6</v>
      </c>
      <c r="AA23" s="3">
        <f t="shared" si="6"/>
        <v>1.171875</v>
      </c>
      <c r="AB23">
        <v>30</v>
      </c>
      <c r="AC23" s="3">
        <f t="shared" si="6"/>
        <v>5.859375</v>
      </c>
      <c r="AD23">
        <v>28</v>
      </c>
      <c r="AE23" s="3">
        <f t="shared" si="11"/>
        <v>5.46875</v>
      </c>
      <c r="AF23">
        <v>15</v>
      </c>
      <c r="AG23" s="3">
        <f t="shared" si="11"/>
        <v>2.9296875</v>
      </c>
      <c r="AH23">
        <v>98</v>
      </c>
      <c r="AI23" s="3">
        <f t="shared" si="12"/>
        <v>19.140625</v>
      </c>
      <c r="AJ23">
        <v>254</v>
      </c>
      <c r="AK23" s="3">
        <f t="shared" si="12"/>
        <v>49.609375</v>
      </c>
      <c r="AL23">
        <v>17</v>
      </c>
      <c r="AM23" s="3">
        <f t="shared" si="13"/>
        <v>3.3203125</v>
      </c>
      <c r="AN23">
        <v>15</v>
      </c>
      <c r="AO23" s="3">
        <f t="shared" si="13"/>
        <v>2.9296875</v>
      </c>
      <c r="AP23">
        <v>15</v>
      </c>
      <c r="AQ23" s="3">
        <f t="shared" si="14"/>
        <v>2.9296875</v>
      </c>
      <c r="AR23">
        <v>10</v>
      </c>
      <c r="AS23" s="3">
        <f t="shared" si="14"/>
        <v>1.953125</v>
      </c>
      <c r="AT23" t="s">
        <v>208</v>
      </c>
      <c r="AV23"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133.45454545454544</v>
      </c>
      <c r="AW23" s="13">
        <f>2*(Мособлдума_партии[[#This Row],[6. Всероссийская политическая партия "ЕДИНАЯ РОССИЯ"]]-(AA$124/100)*Мособлдума_партии[[#This Row],[Число действительных бюллетеней]])</f>
        <v>176.15999999999997</v>
      </c>
      <c r="AX23" s="13">
        <f>(Мособлдума_партии[[#This Row],[Вброс]]+Мособлдума_партии[[#This Row],[Перекладывание]])/2</f>
        <v>154.8072727272727</v>
      </c>
      <c r="AY23" s="13">
        <f>Дума_партии[[#This Row],[Зона ответственности в сен. 2022 г.]]</f>
        <v>0</v>
      </c>
    </row>
    <row r="24" spans="2:51" x14ac:dyDescent="0.4">
      <c r="B24" t="s">
        <v>74</v>
      </c>
      <c r="C24" t="s">
        <v>207</v>
      </c>
      <c r="D24" t="s">
        <v>102</v>
      </c>
      <c r="E24" t="s">
        <v>125</v>
      </c>
      <c r="F24" s="2">
        <f t="shared" ca="1" si="0"/>
        <v>1764</v>
      </c>
      <c r="G24" s="1" t="str">
        <f>Дума_партии[[#This Row],[Местоположение]]</f>
        <v>Наро-Фоминск</v>
      </c>
      <c r="H24">
        <v>2032</v>
      </c>
      <c r="I24" s="1">
        <f>Мособлдума_партии[[#This Row],[Число избирателей, внесенных в список на момент окончания голосования]]</f>
        <v>2032</v>
      </c>
      <c r="J24">
        <v>2000</v>
      </c>
      <c r="K24" s="1"/>
      <c r="L24">
        <v>802</v>
      </c>
      <c r="M24">
        <v>15</v>
      </c>
      <c r="N24" s="3">
        <f t="shared" si="1"/>
        <v>40.20669291338583</v>
      </c>
      <c r="O24" s="3">
        <f t="shared" si="2"/>
        <v>0.73818897637795278</v>
      </c>
      <c r="P24">
        <v>1183</v>
      </c>
      <c r="Q24">
        <v>15</v>
      </c>
      <c r="R24">
        <v>802</v>
      </c>
      <c r="S24" s="1">
        <f t="shared" si="3"/>
        <v>817</v>
      </c>
      <c r="T24" s="3">
        <f t="shared" si="4"/>
        <v>1.8359853121175032</v>
      </c>
      <c r="U24">
        <v>0</v>
      </c>
      <c r="V24" s="3">
        <f t="shared" si="5"/>
        <v>0</v>
      </c>
      <c r="W24">
        <v>817</v>
      </c>
      <c r="X24">
        <v>0</v>
      </c>
      <c r="Y24">
        <v>0</v>
      </c>
      <c r="Z24">
        <v>0</v>
      </c>
      <c r="AA24" s="3">
        <f t="shared" si="6"/>
        <v>0</v>
      </c>
      <c r="AB24">
        <v>20</v>
      </c>
      <c r="AC24" s="3">
        <f t="shared" si="6"/>
        <v>2.4479804161566707</v>
      </c>
      <c r="AD24">
        <v>60</v>
      </c>
      <c r="AE24" s="3">
        <f t="shared" si="11"/>
        <v>7.3439412484700126</v>
      </c>
      <c r="AF24">
        <v>23</v>
      </c>
      <c r="AG24" s="3">
        <f t="shared" si="11"/>
        <v>2.8151774785801713</v>
      </c>
      <c r="AH24">
        <v>42</v>
      </c>
      <c r="AI24" s="3">
        <f t="shared" si="12"/>
        <v>5.1407588739290082</v>
      </c>
      <c r="AJ24">
        <v>672</v>
      </c>
      <c r="AK24" s="3">
        <f t="shared" si="12"/>
        <v>82.252141982864131</v>
      </c>
      <c r="AL24">
        <v>0</v>
      </c>
      <c r="AM24" s="3">
        <f t="shared" si="13"/>
        <v>0</v>
      </c>
      <c r="AN24">
        <v>0</v>
      </c>
      <c r="AO24" s="3">
        <f t="shared" si="13"/>
        <v>0</v>
      </c>
      <c r="AP24">
        <v>0</v>
      </c>
      <c r="AQ24" s="3">
        <f t="shared" si="14"/>
        <v>0</v>
      </c>
      <c r="AR24">
        <v>0</v>
      </c>
      <c r="AS24" s="3">
        <f t="shared" si="14"/>
        <v>0</v>
      </c>
      <c r="AT24" t="s">
        <v>208</v>
      </c>
      <c r="AV24"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597.30303030303025</v>
      </c>
      <c r="AW24" s="13">
        <f>2*(Мособлдума_партии[[#This Row],[6. Всероссийская политическая партия "ЕДИНАЯ РОССИЯ"]]-(AA$124/100)*Мособлдума_партии[[#This Row],[Число действительных бюллетеней]])</f>
        <v>788.43999999999994</v>
      </c>
      <c r="AX24" s="13">
        <f>(Мособлдума_партии[[#This Row],[Вброс]]+Мособлдума_партии[[#This Row],[Перекладывание]])/2</f>
        <v>692.87151515151504</v>
      </c>
      <c r="AY24" s="13">
        <f>Дума_партии[[#This Row],[Зона ответственности в сен. 2022 г.]]</f>
        <v>0</v>
      </c>
    </row>
    <row r="25" spans="2:51" x14ac:dyDescent="0.4">
      <c r="B25" t="s">
        <v>74</v>
      </c>
      <c r="C25" t="s">
        <v>207</v>
      </c>
      <c r="D25" t="s">
        <v>102</v>
      </c>
      <c r="E25" t="s">
        <v>126</v>
      </c>
      <c r="F25" s="2">
        <f t="shared" ca="1" si="0"/>
        <v>1765</v>
      </c>
      <c r="G25" s="1" t="str">
        <f>Дума_партии[[#This Row],[Местоположение]]</f>
        <v>Бекасово</v>
      </c>
      <c r="H25">
        <v>860</v>
      </c>
      <c r="I25" s="1">
        <f>Мособлдума_партии[[#This Row],[Число избирателей, внесенных в список на момент окончания голосования]]</f>
        <v>860</v>
      </c>
      <c r="J25">
        <v>800</v>
      </c>
      <c r="K25" s="1"/>
      <c r="L25">
        <v>275</v>
      </c>
      <c r="M25">
        <v>8</v>
      </c>
      <c r="N25" s="3">
        <f t="shared" si="1"/>
        <v>32.906976744186046</v>
      </c>
      <c r="O25" s="3">
        <f t="shared" si="2"/>
        <v>0.93023255813953487</v>
      </c>
      <c r="P25">
        <v>517</v>
      </c>
      <c r="Q25">
        <v>8</v>
      </c>
      <c r="R25">
        <v>275</v>
      </c>
      <c r="S25" s="1">
        <f t="shared" si="3"/>
        <v>283</v>
      </c>
      <c r="T25" s="3">
        <f t="shared" si="4"/>
        <v>2.8268551236749118</v>
      </c>
      <c r="U25">
        <v>67</v>
      </c>
      <c r="V25" s="3">
        <f t="shared" si="5"/>
        <v>23.674911660777386</v>
      </c>
      <c r="W25">
        <v>216</v>
      </c>
      <c r="X25">
        <v>0</v>
      </c>
      <c r="Y25">
        <v>0</v>
      </c>
      <c r="Z25">
        <v>5</v>
      </c>
      <c r="AA25" s="3">
        <f t="shared" si="6"/>
        <v>1.7667844522968197</v>
      </c>
      <c r="AB25">
        <v>15</v>
      </c>
      <c r="AC25" s="3">
        <f t="shared" si="6"/>
        <v>5.3003533568904597</v>
      </c>
      <c r="AD25">
        <v>10</v>
      </c>
      <c r="AE25" s="3">
        <f t="shared" si="11"/>
        <v>3.5335689045936394</v>
      </c>
      <c r="AF25">
        <v>8</v>
      </c>
      <c r="AG25" s="3">
        <f t="shared" si="11"/>
        <v>2.8268551236749118</v>
      </c>
      <c r="AH25">
        <v>20</v>
      </c>
      <c r="AI25" s="3">
        <f t="shared" si="12"/>
        <v>7.0671378091872787</v>
      </c>
      <c r="AJ25">
        <v>150</v>
      </c>
      <c r="AK25" s="3">
        <f t="shared" si="12"/>
        <v>53.003533568904594</v>
      </c>
      <c r="AL25">
        <v>2</v>
      </c>
      <c r="AM25" s="3">
        <f t="shared" si="13"/>
        <v>0.70671378091872794</v>
      </c>
      <c r="AN25">
        <v>1</v>
      </c>
      <c r="AO25" s="3">
        <f t="shared" si="13"/>
        <v>0.35335689045936397</v>
      </c>
      <c r="AP25">
        <v>2</v>
      </c>
      <c r="AQ25" s="3">
        <f t="shared" si="14"/>
        <v>0.70671378091872794</v>
      </c>
      <c r="AR25">
        <v>3</v>
      </c>
      <c r="AS25" s="3">
        <f t="shared" si="14"/>
        <v>1.0600706713780919</v>
      </c>
      <c r="AT25" t="s">
        <v>208</v>
      </c>
      <c r="AV25"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116</v>
      </c>
      <c r="AW25" s="13">
        <f>2*(Мособлдума_партии[[#This Row],[6. Всероссийская политическая партия "ЕДИНАЯ РОССИЯ"]]-(AA$124/100)*Мособлдума_партии[[#This Row],[Число действительных бюллетеней]])</f>
        <v>153.11999999999998</v>
      </c>
      <c r="AX25" s="13">
        <f>(Мособлдума_партии[[#This Row],[Вброс]]+Мособлдума_партии[[#This Row],[Перекладывание]])/2</f>
        <v>134.56</v>
      </c>
      <c r="AY25" s="13">
        <f>Дума_партии[[#This Row],[Зона ответственности в сен. 2022 г.]]</f>
        <v>0</v>
      </c>
    </row>
    <row r="26" spans="2:51" x14ac:dyDescent="0.4">
      <c r="B26" t="s">
        <v>74</v>
      </c>
      <c r="C26" t="s">
        <v>207</v>
      </c>
      <c r="D26" t="s">
        <v>102</v>
      </c>
      <c r="E26" t="s">
        <v>127</v>
      </c>
      <c r="F26" s="2">
        <f t="shared" ca="1" si="0"/>
        <v>1766</v>
      </c>
      <c r="G26" s="1" t="str">
        <f>Дума_партии[[#This Row],[Местоположение]]</f>
        <v>Наро-Фоминск</v>
      </c>
      <c r="H26">
        <v>1104</v>
      </c>
      <c r="I26" s="1">
        <f>Мособлдума_партии[[#This Row],[Число избирателей, внесенных в список на момент окончания голосования]]</f>
        <v>1104</v>
      </c>
      <c r="J26">
        <v>1100</v>
      </c>
      <c r="K26" s="1"/>
      <c r="L26">
        <v>367</v>
      </c>
      <c r="M26">
        <v>14</v>
      </c>
      <c r="N26" s="3">
        <f t="shared" si="1"/>
        <v>34.510869565217391</v>
      </c>
      <c r="O26" s="3">
        <f t="shared" si="2"/>
        <v>1.2681159420289856</v>
      </c>
      <c r="P26">
        <v>719</v>
      </c>
      <c r="Q26">
        <v>14</v>
      </c>
      <c r="R26">
        <v>367</v>
      </c>
      <c r="S26" s="1">
        <f t="shared" si="3"/>
        <v>381</v>
      </c>
      <c r="T26" s="3">
        <f t="shared" si="4"/>
        <v>3.674540682414698</v>
      </c>
      <c r="U26">
        <v>20</v>
      </c>
      <c r="V26" s="3">
        <f t="shared" si="5"/>
        <v>5.2493438320209975</v>
      </c>
      <c r="W26">
        <v>361</v>
      </c>
      <c r="X26">
        <v>0</v>
      </c>
      <c r="Y26">
        <v>0</v>
      </c>
      <c r="Z26">
        <v>8</v>
      </c>
      <c r="AA26" s="3">
        <f t="shared" si="6"/>
        <v>2.0997375328083989</v>
      </c>
      <c r="AB26">
        <v>29</v>
      </c>
      <c r="AC26" s="3">
        <f t="shared" si="6"/>
        <v>7.6115485564304466</v>
      </c>
      <c r="AD26">
        <v>24</v>
      </c>
      <c r="AE26" s="3">
        <f t="shared" si="11"/>
        <v>6.2992125984251972</v>
      </c>
      <c r="AF26">
        <v>33</v>
      </c>
      <c r="AG26" s="3">
        <f t="shared" si="11"/>
        <v>8.6614173228346463</v>
      </c>
      <c r="AH26">
        <v>90</v>
      </c>
      <c r="AI26" s="3">
        <f t="shared" si="12"/>
        <v>23.622047244094489</v>
      </c>
      <c r="AJ26">
        <v>130</v>
      </c>
      <c r="AK26" s="3">
        <f t="shared" si="12"/>
        <v>34.120734908136484</v>
      </c>
      <c r="AL26">
        <v>9</v>
      </c>
      <c r="AM26" s="3">
        <f t="shared" si="13"/>
        <v>2.3622047244094486</v>
      </c>
      <c r="AN26">
        <v>5</v>
      </c>
      <c r="AO26" s="3">
        <f t="shared" si="13"/>
        <v>1.3123359580052494</v>
      </c>
      <c r="AP26">
        <v>10</v>
      </c>
      <c r="AQ26" s="3">
        <f t="shared" si="14"/>
        <v>2.6246719160104988</v>
      </c>
      <c r="AR26">
        <v>23</v>
      </c>
      <c r="AS26" s="3">
        <f t="shared" si="14"/>
        <v>6.0367454068241466</v>
      </c>
      <c r="AT26" t="s">
        <v>208</v>
      </c>
      <c r="AV26"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10.999999999999972</v>
      </c>
      <c r="AW26" s="13">
        <f>2*(Мособлдума_партии[[#This Row],[6. Всероссийская политическая партия "ЕДИНАЯ РОССИЯ"]]-(AA$124/100)*Мособлдума_партии[[#This Row],[Число действительных бюллетеней]])</f>
        <v>14.519999999999982</v>
      </c>
      <c r="AX26" s="13">
        <f>(Мособлдума_партии[[#This Row],[Вброс]]+Мособлдума_партии[[#This Row],[Перекладывание]])/2</f>
        <v>12.759999999999977</v>
      </c>
      <c r="AY26" s="13">
        <f>Дума_партии[[#This Row],[Зона ответственности в сен. 2022 г.]]</f>
        <v>0</v>
      </c>
    </row>
    <row r="27" spans="2:51" x14ac:dyDescent="0.4">
      <c r="B27" t="s">
        <v>74</v>
      </c>
      <c r="C27" t="s">
        <v>207</v>
      </c>
      <c r="D27" t="s">
        <v>102</v>
      </c>
      <c r="E27" t="s">
        <v>128</v>
      </c>
      <c r="F27" s="2">
        <f t="shared" ca="1" si="0"/>
        <v>1767</v>
      </c>
      <c r="G27" s="1" t="str">
        <f>Дума_партии[[#This Row],[Местоположение]]</f>
        <v>Наро-Фоминск</v>
      </c>
      <c r="H27">
        <v>2848</v>
      </c>
      <c r="I27" s="1">
        <f>Мособлдума_партии[[#This Row],[Число избирателей, внесенных в список на момент окончания голосования]]</f>
        <v>2848</v>
      </c>
      <c r="J27">
        <v>2900</v>
      </c>
      <c r="K27" s="1"/>
      <c r="L27">
        <v>1333</v>
      </c>
      <c r="M27">
        <v>0</v>
      </c>
      <c r="N27" s="3">
        <f t="shared" si="1"/>
        <v>46.804775280898873</v>
      </c>
      <c r="O27" s="3">
        <f t="shared" si="2"/>
        <v>0</v>
      </c>
      <c r="P27">
        <v>1567</v>
      </c>
      <c r="Q27">
        <v>0</v>
      </c>
      <c r="R27">
        <v>1333</v>
      </c>
      <c r="S27" s="1">
        <f t="shared" si="3"/>
        <v>1333</v>
      </c>
      <c r="T27" s="3">
        <f t="shared" si="4"/>
        <v>0</v>
      </c>
      <c r="U27">
        <v>61</v>
      </c>
      <c r="V27" s="3">
        <f t="shared" si="5"/>
        <v>4.5761440360090022</v>
      </c>
      <c r="W27">
        <v>1272</v>
      </c>
      <c r="X27">
        <v>0</v>
      </c>
      <c r="Y27">
        <v>0</v>
      </c>
      <c r="Z27">
        <v>20</v>
      </c>
      <c r="AA27" s="3">
        <f t="shared" si="6"/>
        <v>1.5003750937734435</v>
      </c>
      <c r="AB27">
        <v>165</v>
      </c>
      <c r="AC27" s="3">
        <f t="shared" si="6"/>
        <v>12.378094523630908</v>
      </c>
      <c r="AD27">
        <v>83</v>
      </c>
      <c r="AE27" s="3">
        <f t="shared" si="11"/>
        <v>6.2265566391597895</v>
      </c>
      <c r="AF27">
        <v>49</v>
      </c>
      <c r="AG27" s="3">
        <f t="shared" si="11"/>
        <v>3.6759189797449361</v>
      </c>
      <c r="AH27">
        <v>218</v>
      </c>
      <c r="AI27" s="3">
        <f t="shared" si="12"/>
        <v>16.354088522130532</v>
      </c>
      <c r="AJ27">
        <v>581</v>
      </c>
      <c r="AK27" s="3">
        <f t="shared" si="12"/>
        <v>43.585896474118528</v>
      </c>
      <c r="AL27">
        <v>30</v>
      </c>
      <c r="AM27" s="3">
        <f t="shared" si="13"/>
        <v>2.2505626406601649</v>
      </c>
      <c r="AN27">
        <v>46</v>
      </c>
      <c r="AO27" s="3">
        <f t="shared" si="13"/>
        <v>3.4508627156789196</v>
      </c>
      <c r="AP27">
        <v>24</v>
      </c>
      <c r="AQ27" s="3">
        <f t="shared" si="14"/>
        <v>1.800450112528132</v>
      </c>
      <c r="AR27">
        <v>56</v>
      </c>
      <c r="AS27" s="3">
        <f t="shared" si="14"/>
        <v>4.2010502625656416</v>
      </c>
      <c r="AT27" t="s">
        <v>208</v>
      </c>
      <c r="AV27"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225.03030303030295</v>
      </c>
      <c r="AW27" s="13">
        <f>2*(Мособлдума_партии[[#This Row],[6. Всероссийская политическая партия "ЕДИНАЯ РОССИЯ"]]-(AA$124/100)*Мособлдума_партии[[#This Row],[Число действительных бюллетеней]])</f>
        <v>297.03999999999996</v>
      </c>
      <c r="AX27" s="13">
        <f>(Мособлдума_партии[[#This Row],[Вброс]]+Мособлдума_партии[[#This Row],[Перекладывание]])/2</f>
        <v>261.03515151515148</v>
      </c>
      <c r="AY27" s="13">
        <f>Дума_партии[[#This Row],[Зона ответственности в сен. 2022 г.]]</f>
        <v>0</v>
      </c>
    </row>
    <row r="28" spans="2:51" x14ac:dyDescent="0.4">
      <c r="B28" t="s">
        <v>74</v>
      </c>
      <c r="C28" t="s">
        <v>207</v>
      </c>
      <c r="D28" t="s">
        <v>102</v>
      </c>
      <c r="E28" t="s">
        <v>129</v>
      </c>
      <c r="F28" s="2">
        <f t="shared" ca="1" si="0"/>
        <v>1768</v>
      </c>
      <c r="G28" s="1" t="str">
        <f>Дума_партии[[#This Row],[Местоположение]]</f>
        <v>Наро-Фоминск</v>
      </c>
      <c r="H28">
        <v>2272</v>
      </c>
      <c r="I28" s="1">
        <f>Мособлдума_партии[[#This Row],[Число избирателей, внесенных в список на момент окончания голосования]]</f>
        <v>2272</v>
      </c>
      <c r="J28">
        <v>3000</v>
      </c>
      <c r="K28" s="1"/>
      <c r="L28">
        <v>640</v>
      </c>
      <c r="M28">
        <v>799</v>
      </c>
      <c r="N28" s="3">
        <f t="shared" si="1"/>
        <v>63.3362676056338</v>
      </c>
      <c r="O28" s="3">
        <f t="shared" si="2"/>
        <v>35.16725352112676</v>
      </c>
      <c r="P28">
        <v>1561</v>
      </c>
      <c r="Q28">
        <v>799</v>
      </c>
      <c r="R28">
        <v>640</v>
      </c>
      <c r="S28" s="1">
        <f t="shared" si="3"/>
        <v>1439</v>
      </c>
      <c r="T28" s="3">
        <f t="shared" si="4"/>
        <v>55.524669909659487</v>
      </c>
      <c r="U28">
        <v>29</v>
      </c>
      <c r="V28" s="3">
        <f t="shared" si="5"/>
        <v>2.0152883947185547</v>
      </c>
      <c r="W28">
        <v>1410</v>
      </c>
      <c r="X28">
        <v>0</v>
      </c>
      <c r="Y28">
        <v>0</v>
      </c>
      <c r="Z28">
        <v>10</v>
      </c>
      <c r="AA28" s="3">
        <f t="shared" si="6"/>
        <v>0.69492703266157052</v>
      </c>
      <c r="AB28">
        <v>71</v>
      </c>
      <c r="AC28" s="3">
        <f t="shared" si="6"/>
        <v>4.9339819318971507</v>
      </c>
      <c r="AD28">
        <v>41</v>
      </c>
      <c r="AE28" s="3">
        <f t="shared" si="11"/>
        <v>2.8492008339124393</v>
      </c>
      <c r="AF28">
        <v>34</v>
      </c>
      <c r="AG28" s="3">
        <f t="shared" si="11"/>
        <v>2.3627519110493398</v>
      </c>
      <c r="AH28">
        <v>140</v>
      </c>
      <c r="AI28" s="3">
        <f t="shared" si="12"/>
        <v>9.728978457261988</v>
      </c>
      <c r="AJ28">
        <v>1008</v>
      </c>
      <c r="AK28" s="3">
        <f t="shared" si="12"/>
        <v>70.048644892286305</v>
      </c>
      <c r="AL28">
        <v>14</v>
      </c>
      <c r="AM28" s="3">
        <f t="shared" si="13"/>
        <v>0.97289784572619875</v>
      </c>
      <c r="AN28">
        <v>18</v>
      </c>
      <c r="AO28" s="3">
        <f t="shared" si="13"/>
        <v>1.2508686587908269</v>
      </c>
      <c r="AP28">
        <v>16</v>
      </c>
      <c r="AQ28" s="3">
        <f t="shared" si="14"/>
        <v>1.1118832522585129</v>
      </c>
      <c r="AR28">
        <v>58</v>
      </c>
      <c r="AS28" s="3">
        <f t="shared" si="14"/>
        <v>4.0305767894371094</v>
      </c>
      <c r="AT28" t="s">
        <v>208</v>
      </c>
      <c r="AV28"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800.90909090909088</v>
      </c>
      <c r="AW28" s="13">
        <f>2*(Мособлдума_партии[[#This Row],[6. Всероссийская политическая партия "ЕДИНАЯ РОССИЯ"]]-(AA$124/100)*Мособлдума_партии[[#This Row],[Число действительных бюллетеней]])</f>
        <v>1057.1999999999998</v>
      </c>
      <c r="AX28" s="13">
        <f>(Мособлдума_партии[[#This Row],[Вброс]]+Мособлдума_партии[[#This Row],[Перекладывание]])/2</f>
        <v>929.0545454545454</v>
      </c>
      <c r="AY28" s="13">
        <f>Дума_партии[[#This Row],[Зона ответственности в сен. 2022 г.]]</f>
        <v>0</v>
      </c>
    </row>
    <row r="29" spans="2:51" x14ac:dyDescent="0.4">
      <c r="B29" t="s">
        <v>74</v>
      </c>
      <c r="C29" t="s">
        <v>207</v>
      </c>
      <c r="D29" t="s">
        <v>102</v>
      </c>
      <c r="E29" t="s">
        <v>130</v>
      </c>
      <c r="F29" s="2">
        <f t="shared" ca="1" si="0"/>
        <v>1769</v>
      </c>
      <c r="G29" s="1" t="str">
        <f>Дума_партии[[#This Row],[Местоположение]]</f>
        <v>Наро-Фоминск</v>
      </c>
      <c r="H29">
        <v>1797</v>
      </c>
      <c r="I29" s="1">
        <f>Мособлдума_партии[[#This Row],[Число избирателей, внесенных в список на момент окончания голосования]]</f>
        <v>1797</v>
      </c>
      <c r="J29">
        <v>2500</v>
      </c>
      <c r="K29" s="1"/>
      <c r="L29">
        <v>416</v>
      </c>
      <c r="M29">
        <v>563</v>
      </c>
      <c r="N29" s="3">
        <f t="shared" si="1"/>
        <v>54.479688369504728</v>
      </c>
      <c r="O29" s="3">
        <f t="shared" si="2"/>
        <v>31.329994435169727</v>
      </c>
      <c r="P29">
        <v>1521</v>
      </c>
      <c r="Q29">
        <v>563</v>
      </c>
      <c r="R29">
        <v>416</v>
      </c>
      <c r="S29" s="1">
        <f t="shared" si="3"/>
        <v>979</v>
      </c>
      <c r="T29" s="3">
        <f t="shared" si="4"/>
        <v>57.507660878447396</v>
      </c>
      <c r="U29">
        <v>40</v>
      </c>
      <c r="V29" s="3">
        <f t="shared" si="5"/>
        <v>4.085801838610827</v>
      </c>
      <c r="W29">
        <v>939</v>
      </c>
      <c r="X29">
        <v>0</v>
      </c>
      <c r="Y29">
        <v>0</v>
      </c>
      <c r="Z29">
        <v>13</v>
      </c>
      <c r="AA29" s="3">
        <f t="shared" si="6"/>
        <v>1.3278855975485189</v>
      </c>
      <c r="AB29">
        <v>80</v>
      </c>
      <c r="AC29" s="3">
        <f t="shared" si="6"/>
        <v>8.171603677221654</v>
      </c>
      <c r="AD29">
        <v>36</v>
      </c>
      <c r="AE29" s="3">
        <f t="shared" si="11"/>
        <v>3.6772216547497445</v>
      </c>
      <c r="AF29">
        <v>43</v>
      </c>
      <c r="AG29" s="3">
        <f t="shared" si="11"/>
        <v>4.3922369765066396</v>
      </c>
      <c r="AH29">
        <v>105</v>
      </c>
      <c r="AI29" s="3">
        <f t="shared" si="12"/>
        <v>10.725229826353422</v>
      </c>
      <c r="AJ29">
        <v>581</v>
      </c>
      <c r="AK29" s="3">
        <f t="shared" si="12"/>
        <v>59.346271705822268</v>
      </c>
      <c r="AL29">
        <v>17</v>
      </c>
      <c r="AM29" s="3">
        <f t="shared" si="13"/>
        <v>1.7364657814096016</v>
      </c>
      <c r="AN29">
        <v>25</v>
      </c>
      <c r="AO29" s="3">
        <f t="shared" si="13"/>
        <v>2.5536261491317673</v>
      </c>
      <c r="AP29">
        <v>16</v>
      </c>
      <c r="AQ29" s="3">
        <f t="shared" si="14"/>
        <v>1.634320735444331</v>
      </c>
      <c r="AR29">
        <v>23</v>
      </c>
      <c r="AS29" s="3">
        <f t="shared" si="14"/>
        <v>2.3493360572012256</v>
      </c>
      <c r="AT29" t="s">
        <v>208</v>
      </c>
      <c r="AV29"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396.57575757575751</v>
      </c>
      <c r="AW29" s="13">
        <f>2*(Мособлдума_партии[[#This Row],[6. Всероссийская политическая партия "ЕДИНАЯ РОССИЯ"]]-(AA$124/100)*Мособлдума_партии[[#This Row],[Число действительных бюллетеней]])</f>
        <v>523.4799999999999</v>
      </c>
      <c r="AX29" s="13">
        <f>(Мособлдума_партии[[#This Row],[Вброс]]+Мособлдума_партии[[#This Row],[Перекладывание]])/2</f>
        <v>460.02787878787871</v>
      </c>
      <c r="AY29" s="13">
        <f>Дума_партии[[#This Row],[Зона ответственности в сен. 2022 г.]]</f>
        <v>0</v>
      </c>
    </row>
    <row r="30" spans="2:51" x14ac:dyDescent="0.4">
      <c r="B30" t="s">
        <v>74</v>
      </c>
      <c r="C30" t="s">
        <v>207</v>
      </c>
      <c r="D30" t="s">
        <v>102</v>
      </c>
      <c r="E30" t="s">
        <v>131</v>
      </c>
      <c r="F30" s="2">
        <f t="shared" ca="1" si="0"/>
        <v>1770</v>
      </c>
      <c r="G30" s="1" t="str">
        <f>Дума_партии[[#This Row],[Местоположение]]</f>
        <v>Наро-Фоминск</v>
      </c>
      <c r="H30">
        <v>1709</v>
      </c>
      <c r="I30" s="1">
        <f>Мособлдума_партии[[#This Row],[Число избирателей, внесенных в список на момент окончания голосования]]</f>
        <v>1709</v>
      </c>
      <c r="J30">
        <v>2500</v>
      </c>
      <c r="K30" s="1"/>
      <c r="L30">
        <v>530</v>
      </c>
      <c r="M30">
        <v>343</v>
      </c>
      <c r="N30" s="3">
        <f t="shared" si="1"/>
        <v>51.082504388531305</v>
      </c>
      <c r="O30" s="3">
        <f t="shared" si="2"/>
        <v>20.070216500877706</v>
      </c>
      <c r="P30">
        <v>1627</v>
      </c>
      <c r="Q30">
        <v>343</v>
      </c>
      <c r="R30">
        <v>530</v>
      </c>
      <c r="S30" s="1">
        <f t="shared" si="3"/>
        <v>873</v>
      </c>
      <c r="T30" s="3">
        <f t="shared" si="4"/>
        <v>39.289805269186715</v>
      </c>
      <c r="U30">
        <v>49</v>
      </c>
      <c r="V30" s="3">
        <f t="shared" si="5"/>
        <v>5.61282932416953</v>
      </c>
      <c r="W30">
        <v>824</v>
      </c>
      <c r="X30">
        <v>0</v>
      </c>
      <c r="Y30">
        <v>0</v>
      </c>
      <c r="Z30">
        <v>11</v>
      </c>
      <c r="AA30" s="3">
        <f t="shared" si="6"/>
        <v>1.2600229095074456</v>
      </c>
      <c r="AB30">
        <v>96</v>
      </c>
      <c r="AC30" s="3">
        <f t="shared" si="6"/>
        <v>10.996563573883162</v>
      </c>
      <c r="AD30">
        <v>40</v>
      </c>
      <c r="AE30" s="3">
        <f t="shared" si="11"/>
        <v>4.5819014891179837</v>
      </c>
      <c r="AF30">
        <v>43</v>
      </c>
      <c r="AG30" s="3">
        <f t="shared" si="11"/>
        <v>4.925544100801833</v>
      </c>
      <c r="AH30">
        <v>127</v>
      </c>
      <c r="AI30" s="3">
        <f t="shared" si="12"/>
        <v>14.547537227949599</v>
      </c>
      <c r="AJ30">
        <v>411</v>
      </c>
      <c r="AK30" s="3">
        <f t="shared" si="12"/>
        <v>47.079037800687288</v>
      </c>
      <c r="AL30">
        <v>15</v>
      </c>
      <c r="AM30" s="3">
        <f t="shared" si="13"/>
        <v>1.7182130584192439</v>
      </c>
      <c r="AN30">
        <v>15</v>
      </c>
      <c r="AO30" s="3">
        <f t="shared" si="13"/>
        <v>1.7182130584192439</v>
      </c>
      <c r="AP30">
        <v>15</v>
      </c>
      <c r="AQ30" s="3">
        <f t="shared" si="14"/>
        <v>1.7182130584192439</v>
      </c>
      <c r="AR30">
        <v>51</v>
      </c>
      <c r="AS30" s="3">
        <f t="shared" si="14"/>
        <v>5.8419243986254292</v>
      </c>
      <c r="AT30" t="s">
        <v>208</v>
      </c>
      <c r="AV30"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198.24242424242419</v>
      </c>
      <c r="AW30" s="13">
        <f>2*(Мособлдума_партии[[#This Row],[6. Всероссийская политическая партия "ЕДИНАЯ РОССИЯ"]]-(AA$124/100)*Мособлдума_партии[[#This Row],[Число действительных бюллетеней]])</f>
        <v>261.67999999999995</v>
      </c>
      <c r="AX30" s="13">
        <f>(Мособлдума_партии[[#This Row],[Вброс]]+Мособлдума_партии[[#This Row],[Перекладывание]])/2</f>
        <v>229.96121212121207</v>
      </c>
      <c r="AY30" s="13">
        <f>Дума_партии[[#This Row],[Зона ответственности в сен. 2022 г.]]</f>
        <v>0</v>
      </c>
    </row>
    <row r="31" spans="2:51" x14ac:dyDescent="0.4">
      <c r="B31" t="s">
        <v>74</v>
      </c>
      <c r="C31" t="s">
        <v>207</v>
      </c>
      <c r="D31" t="s">
        <v>102</v>
      </c>
      <c r="E31" t="s">
        <v>132</v>
      </c>
      <c r="F31" s="2">
        <f t="shared" ca="1" si="0"/>
        <v>1771</v>
      </c>
      <c r="G31" s="1" t="str">
        <f>Дума_партии[[#This Row],[Местоположение]]</f>
        <v>Наро-Фоминск</v>
      </c>
      <c r="H31">
        <v>1229</v>
      </c>
      <c r="I31" s="1">
        <f>Мособлдума_партии[[#This Row],[Число избирателей, внесенных в список на момент окончания голосования]]</f>
        <v>1229</v>
      </c>
      <c r="J31">
        <v>1200</v>
      </c>
      <c r="K31" s="1"/>
      <c r="L31">
        <v>424</v>
      </c>
      <c r="M31">
        <v>8</v>
      </c>
      <c r="N31" s="3">
        <f t="shared" si="1"/>
        <v>35.150528885272578</v>
      </c>
      <c r="O31" s="3">
        <f t="shared" si="2"/>
        <v>0.65093572009764034</v>
      </c>
      <c r="P31">
        <v>768</v>
      </c>
      <c r="Q31">
        <v>8</v>
      </c>
      <c r="R31">
        <v>424</v>
      </c>
      <c r="S31" s="1">
        <f t="shared" si="3"/>
        <v>432</v>
      </c>
      <c r="T31" s="3">
        <f t="shared" si="4"/>
        <v>1.8518518518518519</v>
      </c>
      <c r="U31">
        <v>35</v>
      </c>
      <c r="V31" s="3">
        <f t="shared" si="5"/>
        <v>8.1018518518518512</v>
      </c>
      <c r="W31">
        <v>397</v>
      </c>
      <c r="X31">
        <v>0</v>
      </c>
      <c r="Y31">
        <v>0</v>
      </c>
      <c r="Z31">
        <v>8</v>
      </c>
      <c r="AA31" s="3">
        <f t="shared" si="6"/>
        <v>1.8518518518518519</v>
      </c>
      <c r="AB31">
        <v>30</v>
      </c>
      <c r="AC31" s="3">
        <f t="shared" si="6"/>
        <v>6.9444444444444446</v>
      </c>
      <c r="AD31">
        <v>29</v>
      </c>
      <c r="AE31" s="3">
        <f t="shared" si="11"/>
        <v>6.7129629629629628</v>
      </c>
      <c r="AF31">
        <v>26</v>
      </c>
      <c r="AG31" s="3">
        <f t="shared" si="11"/>
        <v>6.0185185185185182</v>
      </c>
      <c r="AH31">
        <v>57</v>
      </c>
      <c r="AI31" s="3">
        <f t="shared" si="12"/>
        <v>13.194444444444445</v>
      </c>
      <c r="AJ31">
        <v>199</v>
      </c>
      <c r="AK31" s="3">
        <f t="shared" si="12"/>
        <v>46.064814814814817</v>
      </c>
      <c r="AL31">
        <v>10</v>
      </c>
      <c r="AM31" s="3">
        <f t="shared" si="13"/>
        <v>2.3148148148148149</v>
      </c>
      <c r="AN31">
        <v>4</v>
      </c>
      <c r="AO31" s="3">
        <f t="shared" si="13"/>
        <v>0.92592592592592593</v>
      </c>
      <c r="AP31">
        <v>10</v>
      </c>
      <c r="AQ31" s="3">
        <f t="shared" si="14"/>
        <v>2.3148148148148149</v>
      </c>
      <c r="AR31">
        <v>24</v>
      </c>
      <c r="AS31" s="3">
        <f t="shared" si="14"/>
        <v>5.5555555555555554</v>
      </c>
      <c r="AT31" t="s">
        <v>208</v>
      </c>
      <c r="AV31"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96.999999999999986</v>
      </c>
      <c r="AW31" s="13">
        <f>2*(Мособлдума_партии[[#This Row],[6. Всероссийская политическая партия "ЕДИНАЯ РОССИЯ"]]-(AA$124/100)*Мособлдума_партии[[#This Row],[Число действительных бюллетеней]])</f>
        <v>128.03999999999996</v>
      </c>
      <c r="AX31" s="13">
        <f>(Мособлдума_партии[[#This Row],[Вброс]]+Мособлдума_партии[[#This Row],[Перекладывание]])/2</f>
        <v>112.51999999999998</v>
      </c>
      <c r="AY31" s="13">
        <f>Дума_партии[[#This Row],[Зона ответственности в сен. 2022 г.]]</f>
        <v>0</v>
      </c>
    </row>
    <row r="32" spans="2:51" x14ac:dyDescent="0.4">
      <c r="B32" t="s">
        <v>74</v>
      </c>
      <c r="C32" t="s">
        <v>207</v>
      </c>
      <c r="D32" t="s">
        <v>102</v>
      </c>
      <c r="E32" t="s">
        <v>133</v>
      </c>
      <c r="F32" s="2">
        <f t="shared" ca="1" si="0"/>
        <v>1772</v>
      </c>
      <c r="G32" s="1" t="str">
        <f>Дума_партии[[#This Row],[Местоположение]]</f>
        <v>Наро-Фоминск</v>
      </c>
      <c r="H32">
        <v>1969</v>
      </c>
      <c r="I32" s="1">
        <f>Мособлдума_партии[[#This Row],[Число избирателей, внесенных в список на момент окончания голосования]]</f>
        <v>1969</v>
      </c>
      <c r="J32">
        <v>2000</v>
      </c>
      <c r="K32" s="1"/>
      <c r="L32">
        <v>1091</v>
      </c>
      <c r="M32">
        <v>250</v>
      </c>
      <c r="N32" s="3">
        <f t="shared" si="1"/>
        <v>68.105637379380397</v>
      </c>
      <c r="O32" s="3">
        <f t="shared" si="2"/>
        <v>12.696800406297614</v>
      </c>
      <c r="P32">
        <v>659</v>
      </c>
      <c r="Q32">
        <v>250</v>
      </c>
      <c r="R32">
        <v>1091</v>
      </c>
      <c r="S32" s="1">
        <f t="shared" si="3"/>
        <v>1341</v>
      </c>
      <c r="T32" s="3">
        <f t="shared" si="4"/>
        <v>18.642803877703205</v>
      </c>
      <c r="U32">
        <v>63</v>
      </c>
      <c r="V32" s="3">
        <f t="shared" si="5"/>
        <v>4.6979865771812079</v>
      </c>
      <c r="W32">
        <v>1278</v>
      </c>
      <c r="X32">
        <v>0</v>
      </c>
      <c r="Y32">
        <v>0</v>
      </c>
      <c r="Z32">
        <v>14</v>
      </c>
      <c r="AA32" s="3">
        <f t="shared" si="6"/>
        <v>1.0439970171513795</v>
      </c>
      <c r="AB32">
        <v>154</v>
      </c>
      <c r="AC32" s="3">
        <f t="shared" si="6"/>
        <v>11.483967188665176</v>
      </c>
      <c r="AD32">
        <v>62</v>
      </c>
      <c r="AE32" s="3">
        <f t="shared" si="11"/>
        <v>4.6234153616703955</v>
      </c>
      <c r="AF32">
        <v>39</v>
      </c>
      <c r="AG32" s="3">
        <f t="shared" si="11"/>
        <v>2.9082774049217002</v>
      </c>
      <c r="AH32">
        <v>191</v>
      </c>
      <c r="AI32" s="3">
        <f t="shared" si="12"/>
        <v>14.243102162565251</v>
      </c>
      <c r="AJ32">
        <v>701</v>
      </c>
      <c r="AK32" s="3">
        <f t="shared" si="12"/>
        <v>52.274422073079791</v>
      </c>
      <c r="AL32">
        <v>26</v>
      </c>
      <c r="AM32" s="3">
        <f t="shared" si="13"/>
        <v>1.9388516032811334</v>
      </c>
      <c r="AN32">
        <v>27</v>
      </c>
      <c r="AO32" s="3">
        <f t="shared" si="13"/>
        <v>2.0134228187919465</v>
      </c>
      <c r="AP32">
        <v>19</v>
      </c>
      <c r="AQ32" s="3">
        <f t="shared" si="14"/>
        <v>1.4168530947054436</v>
      </c>
      <c r="AR32">
        <v>45</v>
      </c>
      <c r="AS32" s="3">
        <f t="shared" si="14"/>
        <v>3.3557046979865772</v>
      </c>
      <c r="AT32" t="s">
        <v>208</v>
      </c>
      <c r="AV32"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403.75757575757569</v>
      </c>
      <c r="AW32" s="13">
        <f>2*(Мособлдума_партии[[#This Row],[6. Всероссийская политическая партия "ЕДИНАЯ РОССИЯ"]]-(AA$124/100)*Мособлдума_партии[[#This Row],[Число действительных бюллетеней]])</f>
        <v>532.95999999999992</v>
      </c>
      <c r="AX32" s="13">
        <f>(Мособлдума_партии[[#This Row],[Вброс]]+Мособлдума_партии[[#This Row],[Перекладывание]])/2</f>
        <v>468.35878787878778</v>
      </c>
      <c r="AY32" s="13">
        <f>Дума_партии[[#This Row],[Зона ответственности в сен. 2022 г.]]</f>
        <v>0</v>
      </c>
    </row>
    <row r="33" spans="2:51" x14ac:dyDescent="0.4">
      <c r="B33" t="s">
        <v>74</v>
      </c>
      <c r="C33" t="s">
        <v>207</v>
      </c>
      <c r="D33" t="s">
        <v>102</v>
      </c>
      <c r="E33" t="s">
        <v>134</v>
      </c>
      <c r="F33" s="2">
        <f t="shared" ca="1" si="0"/>
        <v>1773</v>
      </c>
      <c r="G33" s="1" t="str">
        <f>Дума_партии[[#This Row],[Местоположение]]</f>
        <v>Наро-Фоминск</v>
      </c>
      <c r="H33">
        <v>1144</v>
      </c>
      <c r="I33" s="1">
        <f>Мособлдума_партии[[#This Row],[Число избирателей, внесенных в список на момент окончания голосования]]</f>
        <v>1144</v>
      </c>
      <c r="J33">
        <v>1100</v>
      </c>
      <c r="K33" s="1"/>
      <c r="L33">
        <v>458</v>
      </c>
      <c r="M33">
        <v>2</v>
      </c>
      <c r="N33" s="3">
        <f t="shared" si="1"/>
        <v>40.209790209790206</v>
      </c>
      <c r="O33" s="3">
        <f t="shared" si="2"/>
        <v>0.17482517482517482</v>
      </c>
      <c r="P33">
        <v>640</v>
      </c>
      <c r="Q33">
        <v>2</v>
      </c>
      <c r="R33">
        <v>458</v>
      </c>
      <c r="S33" s="1">
        <f t="shared" si="3"/>
        <v>460</v>
      </c>
      <c r="T33" s="3">
        <f t="shared" si="4"/>
        <v>0.43478260869565216</v>
      </c>
      <c r="U33">
        <v>39</v>
      </c>
      <c r="V33" s="3">
        <f t="shared" si="5"/>
        <v>8.4782608695652169</v>
      </c>
      <c r="W33">
        <v>421</v>
      </c>
      <c r="X33">
        <v>0</v>
      </c>
      <c r="Y33">
        <v>0</v>
      </c>
      <c r="Z33">
        <v>4</v>
      </c>
      <c r="AA33" s="3">
        <f t="shared" si="6"/>
        <v>0.86956521739130432</v>
      </c>
      <c r="AB33">
        <v>56</v>
      </c>
      <c r="AC33" s="3">
        <f t="shared" si="6"/>
        <v>12.173913043478262</v>
      </c>
      <c r="AD33">
        <v>39</v>
      </c>
      <c r="AE33" s="3">
        <f t="shared" si="11"/>
        <v>8.4782608695652169</v>
      </c>
      <c r="AF33">
        <v>28</v>
      </c>
      <c r="AG33" s="3">
        <f t="shared" si="11"/>
        <v>6.0869565217391308</v>
      </c>
      <c r="AH33">
        <v>91</v>
      </c>
      <c r="AI33" s="3">
        <f t="shared" si="12"/>
        <v>19.782608695652176</v>
      </c>
      <c r="AJ33">
        <v>142</v>
      </c>
      <c r="AK33" s="3">
        <f t="shared" si="12"/>
        <v>30.869565217391305</v>
      </c>
      <c r="AL33">
        <v>14</v>
      </c>
      <c r="AM33" s="3">
        <f t="shared" si="13"/>
        <v>3.0434782608695654</v>
      </c>
      <c r="AN33">
        <v>9</v>
      </c>
      <c r="AO33" s="3">
        <f t="shared" si="13"/>
        <v>1.9565217391304348</v>
      </c>
      <c r="AP33">
        <v>14</v>
      </c>
      <c r="AQ33" s="3">
        <f t="shared" si="14"/>
        <v>3.0434782608695654</v>
      </c>
      <c r="AR33">
        <v>24</v>
      </c>
      <c r="AS33" s="3">
        <f t="shared" si="14"/>
        <v>5.2173913043478262</v>
      </c>
      <c r="AT33" t="s">
        <v>208</v>
      </c>
      <c r="AV33"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-1.7272727272727479</v>
      </c>
      <c r="AW33" s="13">
        <f>2*(Мособлдума_партии[[#This Row],[6. Всероссийская политическая партия "ЕДИНАЯ РОССИЯ"]]-(AA$124/100)*Мособлдума_партии[[#This Row],[Число действительных бюллетеней]])</f>
        <v>-2.2800000000000296</v>
      </c>
      <c r="AX33" s="13">
        <f>(Мособлдума_партии[[#This Row],[Вброс]]+Мособлдума_партии[[#This Row],[Перекладывание]])/2</f>
        <v>-2.0036363636363888</v>
      </c>
      <c r="AY33" s="13">
        <f>Дума_партии[[#This Row],[Зона ответственности в сен. 2022 г.]]</f>
        <v>0</v>
      </c>
    </row>
    <row r="34" spans="2:51" x14ac:dyDescent="0.4">
      <c r="B34" t="s">
        <v>74</v>
      </c>
      <c r="C34" t="s">
        <v>207</v>
      </c>
      <c r="D34" t="s">
        <v>102</v>
      </c>
      <c r="E34" t="s">
        <v>135</v>
      </c>
      <c r="F34" s="2">
        <f t="shared" ca="1" si="0"/>
        <v>1774</v>
      </c>
      <c r="G34" s="1" t="str">
        <f>Дума_партии[[#This Row],[Местоположение]]</f>
        <v>Наро-Фоминск</v>
      </c>
      <c r="H34">
        <v>453</v>
      </c>
      <c r="I34" s="1">
        <f>Мособлдума_партии[[#This Row],[Число избирателей, внесенных в список на момент окончания голосования]]</f>
        <v>453</v>
      </c>
      <c r="J34">
        <v>400</v>
      </c>
      <c r="K34" s="1"/>
      <c r="L34">
        <v>274</v>
      </c>
      <c r="M34">
        <v>4</v>
      </c>
      <c r="N34" s="3">
        <f t="shared" si="1"/>
        <v>61.368653421633553</v>
      </c>
      <c r="O34" s="3">
        <f t="shared" si="2"/>
        <v>0.88300220750551872</v>
      </c>
      <c r="P34">
        <v>122</v>
      </c>
      <c r="Q34">
        <v>4</v>
      </c>
      <c r="R34">
        <v>274</v>
      </c>
      <c r="S34" s="1">
        <f t="shared" si="3"/>
        <v>278</v>
      </c>
      <c r="T34" s="3">
        <f t="shared" si="4"/>
        <v>1.4388489208633093</v>
      </c>
      <c r="U34">
        <v>4</v>
      </c>
      <c r="V34" s="3">
        <f t="shared" si="5"/>
        <v>1.4388489208633093</v>
      </c>
      <c r="W34">
        <v>274</v>
      </c>
      <c r="X34">
        <v>0</v>
      </c>
      <c r="Y34">
        <v>0</v>
      </c>
      <c r="Z34">
        <v>2</v>
      </c>
      <c r="AA34" s="3">
        <f t="shared" si="6"/>
        <v>0.71942446043165464</v>
      </c>
      <c r="AB34">
        <v>14</v>
      </c>
      <c r="AC34" s="3">
        <f t="shared" si="6"/>
        <v>5.0359712230215825</v>
      </c>
      <c r="AD34">
        <v>9</v>
      </c>
      <c r="AE34" s="3">
        <f t="shared" si="11"/>
        <v>3.2374100719424459</v>
      </c>
      <c r="AF34">
        <v>9</v>
      </c>
      <c r="AG34" s="3">
        <f t="shared" si="11"/>
        <v>3.2374100719424459</v>
      </c>
      <c r="AH34">
        <v>6</v>
      </c>
      <c r="AI34" s="3">
        <f t="shared" si="12"/>
        <v>2.1582733812949639</v>
      </c>
      <c r="AJ34">
        <v>205</v>
      </c>
      <c r="AK34" s="3">
        <f t="shared" si="12"/>
        <v>73.741007194244602</v>
      </c>
      <c r="AL34">
        <v>7</v>
      </c>
      <c r="AM34" s="3">
        <f t="shared" si="13"/>
        <v>2.5179856115107913</v>
      </c>
      <c r="AN34">
        <v>8</v>
      </c>
      <c r="AO34" s="3">
        <f t="shared" si="13"/>
        <v>2.8776978417266186</v>
      </c>
      <c r="AP34">
        <v>3</v>
      </c>
      <c r="AQ34" s="3">
        <f t="shared" si="14"/>
        <v>1.079136690647482</v>
      </c>
      <c r="AR34">
        <v>11</v>
      </c>
      <c r="AS34" s="3">
        <f t="shared" si="14"/>
        <v>3.9568345323741005</v>
      </c>
      <c r="AT34" t="s">
        <v>208</v>
      </c>
      <c r="AV34"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169.45454545454544</v>
      </c>
      <c r="AW34" s="13">
        <f>2*(Мособлдума_партии[[#This Row],[6. Всероссийская политическая партия "ЕДИНАЯ РОССИЯ"]]-(AA$124/100)*Мособлдума_партии[[#This Row],[Число действительных бюллетеней]])</f>
        <v>223.67999999999998</v>
      </c>
      <c r="AX34" s="13">
        <f>(Мособлдума_партии[[#This Row],[Вброс]]+Мособлдума_партии[[#This Row],[Перекладывание]])/2</f>
        <v>196.56727272727272</v>
      </c>
      <c r="AY34" s="13">
        <f>Дума_партии[[#This Row],[Зона ответственности в сен. 2022 г.]]</f>
        <v>0</v>
      </c>
    </row>
    <row r="35" spans="2:51" x14ac:dyDescent="0.4">
      <c r="B35" t="s">
        <v>74</v>
      </c>
      <c r="C35" t="s">
        <v>207</v>
      </c>
      <c r="D35" t="s">
        <v>102</v>
      </c>
      <c r="E35" t="s">
        <v>136</v>
      </c>
      <c r="F35" s="2">
        <f t="shared" ca="1" si="0"/>
        <v>1775</v>
      </c>
      <c r="G35" s="1" t="str">
        <f>Дума_партии[[#This Row],[Местоположение]]</f>
        <v>Апрелевка</v>
      </c>
      <c r="H35">
        <v>1295</v>
      </c>
      <c r="I35" s="1">
        <f>Мособлдума_партии[[#This Row],[Число избирателей, внесенных в список на момент окончания голосования]]</f>
        <v>1295</v>
      </c>
      <c r="J35">
        <v>1200</v>
      </c>
      <c r="K35" s="1"/>
      <c r="L35">
        <v>551</v>
      </c>
      <c r="M35">
        <v>60</v>
      </c>
      <c r="N35" s="3">
        <f t="shared" si="1"/>
        <v>47.181467181467184</v>
      </c>
      <c r="O35" s="3">
        <f t="shared" si="2"/>
        <v>4.6332046332046328</v>
      </c>
      <c r="P35">
        <v>589</v>
      </c>
      <c r="Q35">
        <v>60</v>
      </c>
      <c r="R35">
        <v>551</v>
      </c>
      <c r="S35" s="1">
        <f t="shared" si="3"/>
        <v>611</v>
      </c>
      <c r="T35" s="3">
        <f t="shared" si="4"/>
        <v>9.8199672667757767</v>
      </c>
      <c r="U35">
        <v>14</v>
      </c>
      <c r="V35" s="3">
        <f t="shared" si="5"/>
        <v>2.2913256955810146</v>
      </c>
      <c r="W35">
        <v>597</v>
      </c>
      <c r="X35">
        <v>0</v>
      </c>
      <c r="Y35">
        <v>0</v>
      </c>
      <c r="Z35">
        <v>5</v>
      </c>
      <c r="AA35" s="3">
        <f t="shared" si="6"/>
        <v>0.81833060556464809</v>
      </c>
      <c r="AB35">
        <v>43</v>
      </c>
      <c r="AC35" s="3">
        <f t="shared" si="6"/>
        <v>7.0376432078559734</v>
      </c>
      <c r="AD35">
        <v>38</v>
      </c>
      <c r="AE35" s="3">
        <f t="shared" ref="AE35:AG39" si="15">100*AD35/$S35</f>
        <v>6.2193126022913257</v>
      </c>
      <c r="AF35">
        <v>20</v>
      </c>
      <c r="AG35" s="3">
        <f t="shared" si="15"/>
        <v>3.2733224222585924</v>
      </c>
      <c r="AH35">
        <v>107</v>
      </c>
      <c r="AI35" s="3">
        <f t="shared" ref="AI35:AK39" si="16">100*AH35/$S35</f>
        <v>17.51227495908347</v>
      </c>
      <c r="AJ35">
        <v>328</v>
      </c>
      <c r="AK35" s="3">
        <f t="shared" si="16"/>
        <v>53.682487725040914</v>
      </c>
      <c r="AL35">
        <v>7</v>
      </c>
      <c r="AM35" s="3">
        <f t="shared" ref="AM35:AO39" si="17">100*AL35/$S35</f>
        <v>1.1456628477905073</v>
      </c>
      <c r="AN35">
        <v>21</v>
      </c>
      <c r="AO35" s="3">
        <f t="shared" si="17"/>
        <v>3.4369885433715219</v>
      </c>
      <c r="AP35">
        <v>8</v>
      </c>
      <c r="AQ35" s="3">
        <f t="shared" ref="AQ35:AS39" si="18">100*AP35/$S35</f>
        <v>1.3093289689034371</v>
      </c>
      <c r="AR35">
        <v>20</v>
      </c>
      <c r="AS35" s="3">
        <f t="shared" si="18"/>
        <v>3.2733224222585924</v>
      </c>
      <c r="AT35" t="s">
        <v>208</v>
      </c>
      <c r="AV35"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189.42424242424241</v>
      </c>
      <c r="AW35" s="13">
        <f>2*(Мособлдума_партии[[#This Row],[6. Всероссийская политическая партия "ЕДИНАЯ РОССИЯ"]]-(AA$124/100)*Мособлдума_партии[[#This Row],[Число действительных бюллетеней]])</f>
        <v>250.03999999999996</v>
      </c>
      <c r="AX35" s="13">
        <f>(Мособлдума_партии[[#This Row],[Вброс]]+Мособлдума_партии[[#This Row],[Перекладывание]])/2</f>
        <v>219.73212121212117</v>
      </c>
      <c r="AY35" s="13" t="str">
        <f>Дума_партии[[#This Row],[Зона ответственности в сен. 2022 г.]]</f>
        <v>Одинцово КПРФ</v>
      </c>
    </row>
    <row r="36" spans="2:51" x14ac:dyDescent="0.4">
      <c r="B36" t="s">
        <v>74</v>
      </c>
      <c r="C36" t="s">
        <v>207</v>
      </c>
      <c r="D36" t="s">
        <v>102</v>
      </c>
      <c r="E36" t="s">
        <v>137</v>
      </c>
      <c r="F36" s="2">
        <f t="shared" ca="1" si="0"/>
        <v>1776</v>
      </c>
      <c r="G36" s="1" t="str">
        <f>Дума_партии[[#This Row],[Местоположение]]</f>
        <v>Апрелевка</v>
      </c>
      <c r="H36">
        <v>2205</v>
      </c>
      <c r="I36" s="1">
        <f>Мособлдума_партии[[#This Row],[Число избирателей, внесенных в список на момент окончания голосования]]</f>
        <v>2205</v>
      </c>
      <c r="J36">
        <v>2200</v>
      </c>
      <c r="K36" s="1"/>
      <c r="L36">
        <v>544</v>
      </c>
      <c r="M36">
        <v>212</v>
      </c>
      <c r="N36" s="3">
        <f t="shared" si="1"/>
        <v>34.285714285714285</v>
      </c>
      <c r="O36" s="3">
        <f t="shared" si="2"/>
        <v>9.6145124716553294</v>
      </c>
      <c r="P36">
        <v>1444</v>
      </c>
      <c r="Q36">
        <v>212</v>
      </c>
      <c r="R36">
        <v>544</v>
      </c>
      <c r="S36" s="1">
        <f t="shared" si="3"/>
        <v>756</v>
      </c>
      <c r="T36" s="3">
        <f t="shared" si="4"/>
        <v>28.042328042328041</v>
      </c>
      <c r="U36">
        <v>13</v>
      </c>
      <c r="V36" s="3">
        <f t="shared" si="5"/>
        <v>1.7195767195767195</v>
      </c>
      <c r="W36">
        <v>743</v>
      </c>
      <c r="X36">
        <v>0</v>
      </c>
      <c r="Y36">
        <v>0</v>
      </c>
      <c r="Z36">
        <v>14</v>
      </c>
      <c r="AA36" s="3">
        <f t="shared" si="6"/>
        <v>1.8518518518518519</v>
      </c>
      <c r="AB36">
        <v>44</v>
      </c>
      <c r="AC36" s="3">
        <f t="shared" si="6"/>
        <v>5.8201058201058204</v>
      </c>
      <c r="AD36">
        <v>45</v>
      </c>
      <c r="AE36" s="3">
        <f t="shared" si="15"/>
        <v>5.9523809523809526</v>
      </c>
      <c r="AF36">
        <v>24</v>
      </c>
      <c r="AG36" s="3">
        <f t="shared" si="15"/>
        <v>3.1746031746031744</v>
      </c>
      <c r="AH36">
        <v>167</v>
      </c>
      <c r="AI36" s="3">
        <f t="shared" si="16"/>
        <v>22.089947089947088</v>
      </c>
      <c r="AJ36">
        <v>338</v>
      </c>
      <c r="AK36" s="3">
        <f t="shared" si="16"/>
        <v>44.708994708994709</v>
      </c>
      <c r="AL36">
        <v>12</v>
      </c>
      <c r="AM36" s="3">
        <f t="shared" si="17"/>
        <v>1.5873015873015872</v>
      </c>
      <c r="AN36">
        <v>39</v>
      </c>
      <c r="AO36" s="3">
        <f t="shared" si="17"/>
        <v>5.1587301587301591</v>
      </c>
      <c r="AP36">
        <v>9</v>
      </c>
      <c r="AQ36" s="3">
        <f t="shared" si="18"/>
        <v>1.1904761904761905</v>
      </c>
      <c r="AR36">
        <v>51</v>
      </c>
      <c r="AS36" s="3">
        <f t="shared" si="18"/>
        <v>6.746031746031746</v>
      </c>
      <c r="AT36" t="s">
        <v>208</v>
      </c>
      <c r="AV36"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129.36363636363632</v>
      </c>
      <c r="AW36" s="13">
        <f>2*(Мособлдума_партии[[#This Row],[6. Всероссийская политическая партия "ЕДИНАЯ РОССИЯ"]]-(AA$124/100)*Мособлдума_партии[[#This Row],[Число действительных бюллетеней]])</f>
        <v>170.76</v>
      </c>
      <c r="AX36" s="13">
        <f>(Мособлдума_партии[[#This Row],[Вброс]]+Мособлдума_партии[[#This Row],[Перекладывание]])/2</f>
        <v>150.06181818181815</v>
      </c>
      <c r="AY36" s="13" t="str">
        <f>Дума_партии[[#This Row],[Зона ответственности в сен. 2022 г.]]</f>
        <v>Одинцово КПРФ</v>
      </c>
    </row>
    <row r="37" spans="2:51" x14ac:dyDescent="0.4">
      <c r="B37" t="s">
        <v>74</v>
      </c>
      <c r="C37" t="s">
        <v>207</v>
      </c>
      <c r="D37" t="s">
        <v>102</v>
      </c>
      <c r="E37" t="s">
        <v>138</v>
      </c>
      <c r="F37" s="2">
        <f t="shared" ca="1" si="0"/>
        <v>1777</v>
      </c>
      <c r="G37" s="1" t="str">
        <f>Дума_партии[[#This Row],[Местоположение]]</f>
        <v>Апрелевка</v>
      </c>
      <c r="H37">
        <v>1045</v>
      </c>
      <c r="I37" s="1">
        <f>Мособлдума_партии[[#This Row],[Число избирателей, внесенных в список на момент окончания голосования]]</f>
        <v>1045</v>
      </c>
      <c r="J37">
        <v>1000</v>
      </c>
      <c r="K37" s="1"/>
      <c r="L37">
        <v>584</v>
      </c>
      <c r="M37">
        <v>95</v>
      </c>
      <c r="N37" s="3">
        <f t="shared" si="1"/>
        <v>64.976076555023923</v>
      </c>
      <c r="O37" s="3">
        <f t="shared" si="2"/>
        <v>9.0909090909090917</v>
      </c>
      <c r="P37">
        <v>321</v>
      </c>
      <c r="Q37">
        <v>95</v>
      </c>
      <c r="R37">
        <v>584</v>
      </c>
      <c r="S37" s="1">
        <f t="shared" si="3"/>
        <v>679</v>
      </c>
      <c r="T37" s="3">
        <f t="shared" si="4"/>
        <v>13.991163475699558</v>
      </c>
      <c r="U37">
        <v>15</v>
      </c>
      <c r="V37" s="3">
        <f t="shared" si="5"/>
        <v>2.2091310751104567</v>
      </c>
      <c r="W37">
        <v>664</v>
      </c>
      <c r="X37">
        <v>0</v>
      </c>
      <c r="Y37">
        <v>0</v>
      </c>
      <c r="Z37">
        <v>6</v>
      </c>
      <c r="AA37" s="3">
        <f t="shared" si="6"/>
        <v>0.88365243004418259</v>
      </c>
      <c r="AB37">
        <v>45</v>
      </c>
      <c r="AC37" s="3">
        <f t="shared" si="6"/>
        <v>6.6273932253313701</v>
      </c>
      <c r="AD37">
        <v>15</v>
      </c>
      <c r="AE37" s="3">
        <f t="shared" si="15"/>
        <v>2.2091310751104567</v>
      </c>
      <c r="AF37">
        <v>17</v>
      </c>
      <c r="AG37" s="3">
        <f t="shared" si="15"/>
        <v>2.5036818851251841</v>
      </c>
      <c r="AH37">
        <v>100</v>
      </c>
      <c r="AI37" s="3">
        <f t="shared" si="16"/>
        <v>14.727540500736376</v>
      </c>
      <c r="AJ37">
        <v>429</v>
      </c>
      <c r="AK37" s="3">
        <f t="shared" si="16"/>
        <v>63.18114874815906</v>
      </c>
      <c r="AL37">
        <v>14</v>
      </c>
      <c r="AM37" s="3">
        <f t="shared" si="17"/>
        <v>2.0618556701030926</v>
      </c>
      <c r="AN37">
        <v>6</v>
      </c>
      <c r="AO37" s="3">
        <f t="shared" si="17"/>
        <v>0.88365243004418259</v>
      </c>
      <c r="AP37">
        <v>9</v>
      </c>
      <c r="AQ37" s="3">
        <f t="shared" si="18"/>
        <v>1.3254786450662739</v>
      </c>
      <c r="AR37">
        <v>23</v>
      </c>
      <c r="AS37" s="3">
        <f t="shared" si="18"/>
        <v>3.3873343151693667</v>
      </c>
      <c r="AT37" t="s">
        <v>208</v>
      </c>
      <c r="AV37"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307.93939393939394</v>
      </c>
      <c r="AW37" s="13">
        <f>2*(Мособлдума_партии[[#This Row],[6. Всероссийская политическая партия "ЕДИНАЯ РОССИЯ"]]-(AA$124/100)*Мособлдума_партии[[#This Row],[Число действительных бюллетеней]])</f>
        <v>406.47999999999996</v>
      </c>
      <c r="AX37" s="13">
        <f>(Мособлдума_партии[[#This Row],[Вброс]]+Мособлдума_партии[[#This Row],[Перекладывание]])/2</f>
        <v>357.20969696969695</v>
      </c>
      <c r="AY37" s="13" t="str">
        <f>Дума_партии[[#This Row],[Зона ответственности в сен. 2022 г.]]</f>
        <v>Одинцово КПРФ</v>
      </c>
    </row>
    <row r="38" spans="2:51" x14ac:dyDescent="0.4">
      <c r="B38" t="s">
        <v>74</v>
      </c>
      <c r="C38" t="s">
        <v>207</v>
      </c>
      <c r="D38" t="s">
        <v>102</v>
      </c>
      <c r="E38" t="s">
        <v>139</v>
      </c>
      <c r="F38" s="2">
        <f t="shared" ca="1" si="0"/>
        <v>1778</v>
      </c>
      <c r="G38" s="1" t="str">
        <f>Дума_партии[[#This Row],[Местоположение]]</f>
        <v>Апрелевка</v>
      </c>
      <c r="H38">
        <v>1016</v>
      </c>
      <c r="I38" s="1">
        <f>Мособлдума_партии[[#This Row],[Число избирателей, внесенных в список на момент окончания голосования]]</f>
        <v>1016</v>
      </c>
      <c r="J38">
        <v>1000</v>
      </c>
      <c r="K38" s="1"/>
      <c r="L38">
        <v>601</v>
      </c>
      <c r="M38">
        <v>6</v>
      </c>
      <c r="N38" s="3">
        <f t="shared" si="1"/>
        <v>59.744094488188978</v>
      </c>
      <c r="O38" s="3">
        <f t="shared" si="2"/>
        <v>0.59055118110236215</v>
      </c>
      <c r="P38">
        <v>393</v>
      </c>
      <c r="Q38">
        <v>6</v>
      </c>
      <c r="R38">
        <v>601</v>
      </c>
      <c r="S38" s="1">
        <f t="shared" si="3"/>
        <v>607</v>
      </c>
      <c r="T38" s="3">
        <f t="shared" si="4"/>
        <v>0.98846787479406917</v>
      </c>
      <c r="U38">
        <v>13</v>
      </c>
      <c r="V38" s="3">
        <f t="shared" si="5"/>
        <v>2.1416803953871497</v>
      </c>
      <c r="W38">
        <v>594</v>
      </c>
      <c r="X38">
        <v>0</v>
      </c>
      <c r="Y38">
        <v>0</v>
      </c>
      <c r="Z38">
        <v>8</v>
      </c>
      <c r="AA38" s="3">
        <f t="shared" si="6"/>
        <v>1.3179571663920921</v>
      </c>
      <c r="AB38">
        <v>19</v>
      </c>
      <c r="AC38" s="3">
        <f t="shared" si="6"/>
        <v>3.1301482701812193</v>
      </c>
      <c r="AD38">
        <v>22</v>
      </c>
      <c r="AE38" s="3">
        <f t="shared" si="15"/>
        <v>3.6243822075782539</v>
      </c>
      <c r="AF38">
        <v>20</v>
      </c>
      <c r="AG38" s="3">
        <f t="shared" si="15"/>
        <v>3.2948929159802307</v>
      </c>
      <c r="AH38">
        <v>89</v>
      </c>
      <c r="AI38" s="3">
        <f t="shared" si="16"/>
        <v>14.662273476112027</v>
      </c>
      <c r="AJ38">
        <v>367</v>
      </c>
      <c r="AK38" s="3">
        <f t="shared" si="16"/>
        <v>60.461285008237233</v>
      </c>
      <c r="AL38">
        <v>17</v>
      </c>
      <c r="AM38" s="3">
        <f t="shared" si="17"/>
        <v>2.8006589785831961</v>
      </c>
      <c r="AN38">
        <v>5</v>
      </c>
      <c r="AO38" s="3">
        <f t="shared" si="17"/>
        <v>0.82372322899505768</v>
      </c>
      <c r="AP38">
        <v>11</v>
      </c>
      <c r="AQ38" s="3">
        <f t="shared" si="18"/>
        <v>1.812191103789127</v>
      </c>
      <c r="AR38">
        <v>36</v>
      </c>
      <c r="AS38" s="3">
        <f t="shared" si="18"/>
        <v>5.930807248764415</v>
      </c>
      <c r="AT38" t="s">
        <v>208</v>
      </c>
      <c r="AV38"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250.06060606060603</v>
      </c>
      <c r="AW38" s="13">
        <f>2*(Мособлдума_партии[[#This Row],[6. Всероссийская политическая партия "ЕДИНАЯ РОССИЯ"]]-(AA$124/100)*Мособлдума_партии[[#This Row],[Число действительных бюллетеней]])</f>
        <v>330.08</v>
      </c>
      <c r="AX38" s="13">
        <f>(Мособлдума_партии[[#This Row],[Вброс]]+Мособлдума_партии[[#This Row],[Перекладывание]])/2</f>
        <v>290.07030303030302</v>
      </c>
      <c r="AY38" s="13" t="str">
        <f>Дума_партии[[#This Row],[Зона ответственности в сен. 2022 г.]]</f>
        <v>Одинцово КПРФ</v>
      </c>
    </row>
    <row r="39" spans="2:51" x14ac:dyDescent="0.4">
      <c r="B39" t="s">
        <v>74</v>
      </c>
      <c r="C39" t="s">
        <v>207</v>
      </c>
      <c r="D39" t="s">
        <v>102</v>
      </c>
      <c r="E39" t="s">
        <v>140</v>
      </c>
      <c r="F39" s="2">
        <f t="shared" ca="1" si="0"/>
        <v>1779</v>
      </c>
      <c r="G39" s="1" t="str">
        <f>Дума_партии[[#This Row],[Местоположение]]</f>
        <v>Апрелевка</v>
      </c>
      <c r="H39">
        <v>1104</v>
      </c>
      <c r="I39" s="1">
        <f>Мособлдума_партии[[#This Row],[Число избирателей, внесенных в список на момент окончания голосования]]</f>
        <v>1104</v>
      </c>
      <c r="J39">
        <v>1100</v>
      </c>
      <c r="K39" s="1"/>
      <c r="L39">
        <v>574</v>
      </c>
      <c r="M39">
        <v>15</v>
      </c>
      <c r="N39" s="3">
        <f t="shared" si="1"/>
        <v>53.35144927536232</v>
      </c>
      <c r="O39" s="3">
        <f t="shared" si="2"/>
        <v>1.3586956521739131</v>
      </c>
      <c r="P39">
        <v>511</v>
      </c>
      <c r="Q39">
        <v>15</v>
      </c>
      <c r="R39">
        <v>574</v>
      </c>
      <c r="S39" s="1">
        <f t="shared" si="3"/>
        <v>589</v>
      </c>
      <c r="T39" s="3">
        <f t="shared" si="4"/>
        <v>2.5466893039049237</v>
      </c>
      <c r="U39">
        <v>13</v>
      </c>
      <c r="V39" s="3">
        <f t="shared" si="5"/>
        <v>2.2071307300509337</v>
      </c>
      <c r="W39">
        <v>576</v>
      </c>
      <c r="X39">
        <v>0</v>
      </c>
      <c r="Y39">
        <v>0</v>
      </c>
      <c r="Z39">
        <v>9</v>
      </c>
      <c r="AA39" s="3">
        <f t="shared" si="6"/>
        <v>1.5280135823429541</v>
      </c>
      <c r="AB39">
        <v>29</v>
      </c>
      <c r="AC39" s="3">
        <f t="shared" si="6"/>
        <v>4.9235993208828521</v>
      </c>
      <c r="AD39">
        <v>19</v>
      </c>
      <c r="AE39" s="3">
        <f t="shared" si="15"/>
        <v>3.225806451612903</v>
      </c>
      <c r="AF39">
        <v>20</v>
      </c>
      <c r="AG39" s="3">
        <f t="shared" si="15"/>
        <v>3.3955857385398982</v>
      </c>
      <c r="AH39">
        <v>84</v>
      </c>
      <c r="AI39" s="3">
        <f t="shared" si="16"/>
        <v>14.261460101867572</v>
      </c>
      <c r="AJ39">
        <v>369</v>
      </c>
      <c r="AK39" s="3">
        <f t="shared" si="16"/>
        <v>62.648556876061122</v>
      </c>
      <c r="AL39">
        <v>6</v>
      </c>
      <c r="AM39" s="3">
        <f t="shared" si="17"/>
        <v>1.0186757215619695</v>
      </c>
      <c r="AN39">
        <v>10</v>
      </c>
      <c r="AO39" s="3">
        <f t="shared" si="17"/>
        <v>1.6977928692699491</v>
      </c>
      <c r="AP39">
        <v>8</v>
      </c>
      <c r="AQ39" s="3">
        <f t="shared" si="18"/>
        <v>1.3582342954159592</v>
      </c>
      <c r="AR39">
        <v>22</v>
      </c>
      <c r="AS39" s="3">
        <f t="shared" si="18"/>
        <v>3.7351443123938881</v>
      </c>
      <c r="AT39" t="s">
        <v>208</v>
      </c>
      <c r="AV39"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262.36363636363637</v>
      </c>
      <c r="AW39" s="13">
        <f>2*(Мособлдума_партии[[#This Row],[6. Всероссийская политическая партия "ЕДИНАЯ РОССИЯ"]]-(AA$124/100)*Мособлдума_партии[[#This Row],[Число действительных бюллетеней]])</f>
        <v>346.32</v>
      </c>
      <c r="AX39" s="13">
        <f>(Мособлдума_партии[[#This Row],[Вброс]]+Мособлдума_партии[[#This Row],[Перекладывание]])/2</f>
        <v>304.34181818181821</v>
      </c>
      <c r="AY39" s="13" t="str">
        <f>Дума_партии[[#This Row],[Зона ответственности в сен. 2022 г.]]</f>
        <v>Одинцово КПРФ</v>
      </c>
    </row>
    <row r="40" spans="2:51" x14ac:dyDescent="0.4">
      <c r="B40" t="s">
        <v>74</v>
      </c>
      <c r="C40" t="s">
        <v>207</v>
      </c>
      <c r="D40" t="s">
        <v>102</v>
      </c>
      <c r="E40" t="s">
        <v>141</v>
      </c>
      <c r="F40" s="10">
        <f t="shared" ref="F40:F71" ca="1" si="19">SUMPRODUCT(MID(0&amp;E40, LARGE(INDEX(ISNUMBER(--MID(E40, ROW(INDIRECT("1:"&amp;LEN(E40))), 1)) * ROW(INDIRECT("1:"&amp;LEN(E40))), 0), ROW(INDIRECT("1:"&amp;LEN(E40))))+1, 1) * 10^ROW(INDIRECT("1:"&amp;LEN(E40)))/10)</f>
        <v>1780</v>
      </c>
      <c r="G40" s="1" t="str">
        <f>Дума_партии[[#This Row],[Местоположение]]</f>
        <v>Апрелевка</v>
      </c>
      <c r="H40">
        <v>974</v>
      </c>
      <c r="I40" s="10">
        <f>Мособлдума_партии[[#This Row],[Число избирателей, внесенных в список на момент окончания голосования]]</f>
        <v>974</v>
      </c>
      <c r="J40">
        <v>900</v>
      </c>
      <c r="L40">
        <v>742</v>
      </c>
      <c r="M40">
        <v>1</v>
      </c>
      <c r="N40" s="3">
        <f t="shared" ref="N40:N71" si="20">100*(L40+M40)/H40</f>
        <v>76.283367556468178</v>
      </c>
      <c r="O40" s="3">
        <f t="shared" ref="O40:O71" si="21">100*M40/H40</f>
        <v>0.10266940451745379</v>
      </c>
      <c r="P40">
        <v>157</v>
      </c>
      <c r="Q40">
        <v>1</v>
      </c>
      <c r="R40">
        <v>742</v>
      </c>
      <c r="S40" s="3">
        <f t="shared" ref="S40:S71" si="22">Q40+R40</f>
        <v>743</v>
      </c>
      <c r="T40" s="3">
        <f t="shared" ref="T40:T71" si="23">100*Q40/S40</f>
        <v>0.13458950201884254</v>
      </c>
      <c r="U40">
        <v>136</v>
      </c>
      <c r="V40" s="3">
        <f t="shared" ref="V40:V71" si="24">100*U40/S40</f>
        <v>18.304172274562585</v>
      </c>
      <c r="W40">
        <v>607</v>
      </c>
      <c r="X40">
        <v>0</v>
      </c>
      <c r="Y40">
        <v>0</v>
      </c>
      <c r="Z40">
        <v>4</v>
      </c>
      <c r="AA40" s="3">
        <f t="shared" ref="AA40:AA71" si="25">100*Z40/$S40</f>
        <v>0.53835800807537015</v>
      </c>
      <c r="AB40">
        <v>33</v>
      </c>
      <c r="AC40" s="3">
        <f t="shared" ref="AC40:AC71" si="26">100*AB40/$S40</f>
        <v>4.4414535666218038</v>
      </c>
      <c r="AD40">
        <v>9</v>
      </c>
      <c r="AE40" s="3">
        <f t="shared" ref="AE40:AE71" si="27">100*AD40/$S40</f>
        <v>1.2113055181695829</v>
      </c>
      <c r="AF40">
        <v>30</v>
      </c>
      <c r="AG40" s="3">
        <f t="shared" ref="AG40:AG71" si="28">100*AF40/$S40</f>
        <v>4.0376850605652761</v>
      </c>
      <c r="AH40">
        <v>89</v>
      </c>
      <c r="AI40" s="3">
        <f t="shared" ref="AI40:AI71" si="29">100*AH40/$S40</f>
        <v>11.978465679676985</v>
      </c>
      <c r="AJ40">
        <v>351</v>
      </c>
      <c r="AK40" s="3">
        <f t="shared" ref="AK40:AK71" si="30">100*AJ40/$S40</f>
        <v>47.240915208613728</v>
      </c>
      <c r="AL40">
        <v>33</v>
      </c>
      <c r="AM40" s="3">
        <f t="shared" ref="AM40:AM71" si="31">100*AL40/$S40</f>
        <v>4.4414535666218038</v>
      </c>
      <c r="AN40">
        <v>26</v>
      </c>
      <c r="AO40" s="3">
        <f t="shared" ref="AO40:AO71" si="32">100*AN40/$S40</f>
        <v>3.4993270524899058</v>
      </c>
      <c r="AP40">
        <v>11</v>
      </c>
      <c r="AQ40" s="3">
        <f t="shared" ref="AQ40:AQ71" si="33">100*AP40/$S40</f>
        <v>1.4804845222072678</v>
      </c>
      <c r="AR40">
        <v>21</v>
      </c>
      <c r="AS40" s="3">
        <f t="shared" ref="AS40:AS71" si="34">100*AR40/$S40</f>
        <v>2.826379542395693</v>
      </c>
      <c r="AT40" t="s">
        <v>208</v>
      </c>
      <c r="AV40"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219.1212121212121</v>
      </c>
      <c r="AW40" s="13">
        <f>2*(Мособлдума_партии[[#This Row],[6. Всероссийская политическая партия "ЕДИНАЯ РОССИЯ"]]-(AA$124/100)*Мособлдума_партии[[#This Row],[Число действительных бюллетеней]])</f>
        <v>289.23999999999995</v>
      </c>
      <c r="AX40" s="13">
        <f>(Мособлдума_партии[[#This Row],[Вброс]]+Мособлдума_партии[[#This Row],[Перекладывание]])/2</f>
        <v>254.18060606060601</v>
      </c>
      <c r="AY40" s="13" t="str">
        <f>Дума_партии[[#This Row],[Зона ответственности в сен. 2022 г.]]</f>
        <v>Одинцово КПРФ</v>
      </c>
    </row>
    <row r="41" spans="2:51" x14ac:dyDescent="0.4">
      <c r="B41" t="s">
        <v>74</v>
      </c>
      <c r="C41" t="s">
        <v>207</v>
      </c>
      <c r="D41" t="s">
        <v>102</v>
      </c>
      <c r="E41" t="s">
        <v>142</v>
      </c>
      <c r="F41" s="10">
        <f t="shared" ca="1" si="19"/>
        <v>1781</v>
      </c>
      <c r="G41" s="1" t="str">
        <f>Дума_партии[[#This Row],[Местоположение]]</f>
        <v>Апрелевка</v>
      </c>
      <c r="H41">
        <v>1430</v>
      </c>
      <c r="I41" s="10">
        <f>Мособлдума_партии[[#This Row],[Число избирателей, внесенных в список на момент окончания голосования]]</f>
        <v>1430</v>
      </c>
      <c r="J41">
        <v>1400</v>
      </c>
      <c r="K41" s="1"/>
      <c r="L41">
        <v>460</v>
      </c>
      <c r="M41">
        <v>33</v>
      </c>
      <c r="N41" s="3">
        <f t="shared" si="20"/>
        <v>34.475524475524473</v>
      </c>
      <c r="O41" s="3">
        <f t="shared" si="21"/>
        <v>2.3076923076923075</v>
      </c>
      <c r="P41">
        <v>907</v>
      </c>
      <c r="Q41">
        <v>33</v>
      </c>
      <c r="R41">
        <v>460</v>
      </c>
      <c r="S41" s="1">
        <f t="shared" si="22"/>
        <v>493</v>
      </c>
      <c r="T41" s="3">
        <f t="shared" si="23"/>
        <v>6.6937119675456387</v>
      </c>
      <c r="U41">
        <v>11</v>
      </c>
      <c r="V41" s="3">
        <f t="shared" si="24"/>
        <v>2.2312373225152129</v>
      </c>
      <c r="W41">
        <v>482</v>
      </c>
      <c r="X41">
        <v>0</v>
      </c>
      <c r="Y41">
        <v>0</v>
      </c>
      <c r="Z41">
        <v>8</v>
      </c>
      <c r="AA41" s="3">
        <f t="shared" si="25"/>
        <v>1.6227180527383367</v>
      </c>
      <c r="AB41">
        <v>37</v>
      </c>
      <c r="AC41" s="3">
        <f t="shared" si="26"/>
        <v>7.5050709939148073</v>
      </c>
      <c r="AD41">
        <v>20</v>
      </c>
      <c r="AE41" s="3">
        <f t="shared" si="27"/>
        <v>4.056795131845842</v>
      </c>
      <c r="AF41">
        <v>17</v>
      </c>
      <c r="AG41" s="3">
        <f t="shared" si="28"/>
        <v>3.4482758620689653</v>
      </c>
      <c r="AH41">
        <v>98</v>
      </c>
      <c r="AI41" s="3">
        <f t="shared" si="29"/>
        <v>19.878296146044626</v>
      </c>
      <c r="AJ41">
        <v>254</v>
      </c>
      <c r="AK41" s="3">
        <f t="shared" si="30"/>
        <v>51.521298174442194</v>
      </c>
      <c r="AL41">
        <v>9</v>
      </c>
      <c r="AM41" s="3">
        <f t="shared" si="31"/>
        <v>1.8255578093306288</v>
      </c>
      <c r="AN41">
        <v>9</v>
      </c>
      <c r="AO41" s="3">
        <f t="shared" si="32"/>
        <v>1.8255578093306288</v>
      </c>
      <c r="AP41">
        <v>4</v>
      </c>
      <c r="AQ41" s="3">
        <f t="shared" si="33"/>
        <v>0.81135902636916835</v>
      </c>
      <c r="AR41">
        <v>26</v>
      </c>
      <c r="AS41" s="3">
        <f t="shared" si="34"/>
        <v>5.2738336713995944</v>
      </c>
      <c r="AT41" t="s">
        <v>208</v>
      </c>
      <c r="AV41"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136.5454545454545</v>
      </c>
      <c r="AW41" s="13">
        <f>2*(Мособлдума_партии[[#This Row],[6. Всероссийская политическая партия "ЕДИНАЯ РОССИЯ"]]-(AA$124/100)*Мособлдума_партии[[#This Row],[Число действительных бюллетеней]])</f>
        <v>180.23999999999995</v>
      </c>
      <c r="AX41" s="13">
        <f>(Мособлдума_партии[[#This Row],[Вброс]]+Мособлдума_партии[[#This Row],[Перекладывание]])/2</f>
        <v>158.39272727272723</v>
      </c>
      <c r="AY41" s="13" t="str">
        <f>Дума_партии[[#This Row],[Зона ответственности в сен. 2022 г.]]</f>
        <v>Одинцово КПРФ</v>
      </c>
    </row>
    <row r="42" spans="2:51" x14ac:dyDescent="0.4">
      <c r="B42" t="s">
        <v>74</v>
      </c>
      <c r="C42" t="s">
        <v>207</v>
      </c>
      <c r="D42" t="s">
        <v>102</v>
      </c>
      <c r="E42" t="s">
        <v>143</v>
      </c>
      <c r="F42" s="10">
        <f t="shared" ca="1" si="19"/>
        <v>1782</v>
      </c>
      <c r="G42" s="1" t="str">
        <f>Дума_партии[[#This Row],[Местоположение]]</f>
        <v>Апрелевка</v>
      </c>
      <c r="H42">
        <v>2025</v>
      </c>
      <c r="I42" s="10">
        <f>Мособлдума_партии[[#This Row],[Число избирателей, внесенных в список на момент окончания голосования]]</f>
        <v>2025</v>
      </c>
      <c r="J42">
        <v>1900</v>
      </c>
      <c r="K42" s="1"/>
      <c r="L42">
        <v>846</v>
      </c>
      <c r="M42">
        <v>12</v>
      </c>
      <c r="N42" s="3">
        <f t="shared" si="20"/>
        <v>42.370370370370374</v>
      </c>
      <c r="O42" s="3">
        <f t="shared" si="21"/>
        <v>0.59259259259259256</v>
      </c>
      <c r="P42">
        <v>1042</v>
      </c>
      <c r="Q42">
        <v>12</v>
      </c>
      <c r="R42">
        <v>846</v>
      </c>
      <c r="S42" s="1">
        <f t="shared" si="22"/>
        <v>858</v>
      </c>
      <c r="T42" s="3">
        <f t="shared" si="23"/>
        <v>1.3986013986013985</v>
      </c>
      <c r="U42">
        <v>19</v>
      </c>
      <c r="V42" s="3">
        <f t="shared" si="24"/>
        <v>2.2144522144522143</v>
      </c>
      <c r="W42">
        <v>839</v>
      </c>
      <c r="X42">
        <v>0</v>
      </c>
      <c r="Y42">
        <v>0</v>
      </c>
      <c r="Z42">
        <v>13</v>
      </c>
      <c r="AA42" s="3">
        <f t="shared" si="25"/>
        <v>1.5151515151515151</v>
      </c>
      <c r="AB42">
        <v>62</v>
      </c>
      <c r="AC42" s="3">
        <f t="shared" si="26"/>
        <v>7.2261072261072261</v>
      </c>
      <c r="AD42">
        <v>42</v>
      </c>
      <c r="AE42" s="3">
        <f t="shared" si="27"/>
        <v>4.895104895104895</v>
      </c>
      <c r="AF42">
        <v>34</v>
      </c>
      <c r="AG42" s="3">
        <f t="shared" si="28"/>
        <v>3.9627039627039626</v>
      </c>
      <c r="AH42">
        <v>148</v>
      </c>
      <c r="AI42" s="3">
        <f t="shared" si="29"/>
        <v>17.249417249417249</v>
      </c>
      <c r="AJ42">
        <v>458</v>
      </c>
      <c r="AK42" s="3">
        <f t="shared" si="30"/>
        <v>53.379953379953378</v>
      </c>
      <c r="AL42">
        <v>17</v>
      </c>
      <c r="AM42" s="3">
        <f t="shared" si="31"/>
        <v>1.9813519813519813</v>
      </c>
      <c r="AN42">
        <v>25</v>
      </c>
      <c r="AO42" s="3">
        <f t="shared" si="32"/>
        <v>2.9137529137529139</v>
      </c>
      <c r="AP42">
        <v>13</v>
      </c>
      <c r="AQ42" s="3">
        <f t="shared" si="33"/>
        <v>1.5151515151515151</v>
      </c>
      <c r="AR42">
        <v>27</v>
      </c>
      <c r="AS42" s="3">
        <f t="shared" si="34"/>
        <v>3.1468531468531467</v>
      </c>
      <c r="AT42" t="s">
        <v>208</v>
      </c>
      <c r="AV42"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261.72727272727269</v>
      </c>
      <c r="AW42" s="13">
        <f>2*(Мособлдума_партии[[#This Row],[6. Всероссийская политическая партия "ЕДИНАЯ РОССИЯ"]]-(AA$124/100)*Мособлдума_партии[[#This Row],[Число действительных бюллетеней]])</f>
        <v>345.4799999999999</v>
      </c>
      <c r="AX42" s="13">
        <f>(Мособлдума_партии[[#This Row],[Вброс]]+Мособлдума_партии[[#This Row],[Перекладывание]])/2</f>
        <v>303.60363636363627</v>
      </c>
      <c r="AY42" s="13" t="str">
        <f>Дума_партии[[#This Row],[Зона ответственности в сен. 2022 г.]]</f>
        <v>Одинцово КПРФ</v>
      </c>
    </row>
    <row r="43" spans="2:51" x14ac:dyDescent="0.4">
      <c r="B43" t="s">
        <v>74</v>
      </c>
      <c r="C43" t="s">
        <v>207</v>
      </c>
      <c r="D43" t="s">
        <v>102</v>
      </c>
      <c r="E43" t="s">
        <v>144</v>
      </c>
      <c r="F43" s="10">
        <f t="shared" ca="1" si="19"/>
        <v>1783</v>
      </c>
      <c r="G43" s="1" t="str">
        <f>Дума_партии[[#This Row],[Местоположение]]</f>
        <v>Апрелевка</v>
      </c>
      <c r="H43">
        <v>1033</v>
      </c>
      <c r="I43" s="10">
        <f>Мособлдума_партии[[#This Row],[Число избирателей, внесенных в список на момент окончания голосования]]</f>
        <v>1033</v>
      </c>
      <c r="J43">
        <v>1000</v>
      </c>
      <c r="K43" s="1"/>
      <c r="L43">
        <v>334</v>
      </c>
      <c r="M43">
        <v>7</v>
      </c>
      <c r="N43" s="3">
        <f t="shared" si="20"/>
        <v>33.010648596321396</v>
      </c>
      <c r="O43" s="3">
        <f t="shared" si="21"/>
        <v>0.67763794772507258</v>
      </c>
      <c r="P43">
        <v>659</v>
      </c>
      <c r="Q43">
        <v>7</v>
      </c>
      <c r="R43">
        <v>334</v>
      </c>
      <c r="S43" s="1">
        <f t="shared" si="22"/>
        <v>341</v>
      </c>
      <c r="T43" s="3">
        <f t="shared" si="23"/>
        <v>2.0527859237536656</v>
      </c>
      <c r="U43">
        <v>21</v>
      </c>
      <c r="V43" s="3">
        <f t="shared" si="24"/>
        <v>6.1583577712609969</v>
      </c>
      <c r="W43">
        <v>320</v>
      </c>
      <c r="X43">
        <v>0</v>
      </c>
      <c r="Y43">
        <v>0</v>
      </c>
      <c r="Z43">
        <v>5</v>
      </c>
      <c r="AA43" s="3">
        <f t="shared" si="25"/>
        <v>1.466275659824047</v>
      </c>
      <c r="AB43">
        <v>29</v>
      </c>
      <c r="AC43" s="3">
        <f t="shared" si="26"/>
        <v>8.5043988269794717</v>
      </c>
      <c r="AD43">
        <v>22</v>
      </c>
      <c r="AE43" s="3">
        <f t="shared" si="27"/>
        <v>6.4516129032258061</v>
      </c>
      <c r="AF43">
        <v>17</v>
      </c>
      <c r="AG43" s="3">
        <f t="shared" si="28"/>
        <v>4.9853372434017595</v>
      </c>
      <c r="AH43">
        <v>92</v>
      </c>
      <c r="AI43" s="3">
        <f t="shared" si="29"/>
        <v>26.979472140762464</v>
      </c>
      <c r="AJ43">
        <v>99</v>
      </c>
      <c r="AK43" s="3">
        <f t="shared" si="30"/>
        <v>29.032258064516128</v>
      </c>
      <c r="AL43">
        <v>10</v>
      </c>
      <c r="AM43" s="3">
        <f t="shared" si="31"/>
        <v>2.9325513196480939</v>
      </c>
      <c r="AN43">
        <v>5</v>
      </c>
      <c r="AO43" s="3">
        <f t="shared" si="32"/>
        <v>1.466275659824047</v>
      </c>
      <c r="AP43">
        <v>9</v>
      </c>
      <c r="AQ43" s="3">
        <f t="shared" si="33"/>
        <v>2.6392961876832843</v>
      </c>
      <c r="AR43">
        <v>32</v>
      </c>
      <c r="AS43" s="3">
        <f t="shared" si="34"/>
        <v>9.3841642228739008</v>
      </c>
      <c r="AT43" t="s">
        <v>208</v>
      </c>
      <c r="AV43"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-14.848484848484873</v>
      </c>
      <c r="AW43" s="13">
        <f>2*(Мособлдума_партии[[#This Row],[6. Всероссийская политическая партия "ЕДИНАЯ РОССИЯ"]]-(AA$124/100)*Мособлдума_партии[[#This Row],[Число действительных бюллетеней]])</f>
        <v>-19.600000000000023</v>
      </c>
      <c r="AX43" s="13">
        <f>(Мособлдума_партии[[#This Row],[Вброс]]+Мособлдума_партии[[#This Row],[Перекладывание]])/2</f>
        <v>-17.224242424242448</v>
      </c>
      <c r="AY43" s="13" t="str">
        <f>Дума_партии[[#This Row],[Зона ответственности в сен. 2022 г.]]</f>
        <v>Одинцово КПРФ</v>
      </c>
    </row>
    <row r="44" spans="2:51" x14ac:dyDescent="0.4">
      <c r="B44" t="s">
        <v>74</v>
      </c>
      <c r="C44" t="s">
        <v>207</v>
      </c>
      <c r="D44" t="s">
        <v>102</v>
      </c>
      <c r="E44" t="s">
        <v>145</v>
      </c>
      <c r="F44" s="10">
        <f t="shared" ca="1" si="19"/>
        <v>1784</v>
      </c>
      <c r="G44" s="1" t="str">
        <f>Дума_партии[[#This Row],[Местоположение]]</f>
        <v>Апрелевка</v>
      </c>
      <c r="H44">
        <v>1119</v>
      </c>
      <c r="I44" s="10">
        <f>Мособлдума_партии[[#This Row],[Число избирателей, внесенных в список на момент окончания голосования]]</f>
        <v>1119</v>
      </c>
      <c r="J44">
        <v>1100</v>
      </c>
      <c r="K44" s="1"/>
      <c r="L44">
        <v>641</v>
      </c>
      <c r="M44">
        <v>18</v>
      </c>
      <c r="N44" s="3">
        <f t="shared" si="20"/>
        <v>58.891867739052728</v>
      </c>
      <c r="O44" s="3">
        <f t="shared" si="21"/>
        <v>1.6085790884718498</v>
      </c>
      <c r="P44">
        <v>441</v>
      </c>
      <c r="Q44">
        <v>18</v>
      </c>
      <c r="R44">
        <v>641</v>
      </c>
      <c r="S44" s="1">
        <f t="shared" si="22"/>
        <v>659</v>
      </c>
      <c r="T44" s="3">
        <f t="shared" si="23"/>
        <v>2.7314112291350532</v>
      </c>
      <c r="U44">
        <v>18</v>
      </c>
      <c r="V44" s="3">
        <f t="shared" si="24"/>
        <v>2.7314112291350532</v>
      </c>
      <c r="W44">
        <v>641</v>
      </c>
      <c r="X44">
        <v>0</v>
      </c>
      <c r="Y44">
        <v>0</v>
      </c>
      <c r="Z44">
        <v>5</v>
      </c>
      <c r="AA44" s="3">
        <f t="shared" si="25"/>
        <v>0.75872534142640369</v>
      </c>
      <c r="AB44">
        <v>40</v>
      </c>
      <c r="AC44" s="3">
        <f t="shared" si="26"/>
        <v>6.0698027314112295</v>
      </c>
      <c r="AD44">
        <v>21</v>
      </c>
      <c r="AE44" s="3">
        <f t="shared" si="27"/>
        <v>3.1866464339908953</v>
      </c>
      <c r="AF44">
        <v>12</v>
      </c>
      <c r="AG44" s="3">
        <f t="shared" si="28"/>
        <v>1.8209408194233687</v>
      </c>
      <c r="AH44">
        <v>122</v>
      </c>
      <c r="AI44" s="3">
        <f t="shared" si="29"/>
        <v>18.512898330804248</v>
      </c>
      <c r="AJ44">
        <v>374</v>
      </c>
      <c r="AK44" s="3">
        <f t="shared" si="30"/>
        <v>56.752655538694995</v>
      </c>
      <c r="AL44">
        <v>16</v>
      </c>
      <c r="AM44" s="3">
        <f t="shared" si="31"/>
        <v>2.4279210925644916</v>
      </c>
      <c r="AN44">
        <v>13</v>
      </c>
      <c r="AO44" s="3">
        <f t="shared" si="32"/>
        <v>1.9726858877086495</v>
      </c>
      <c r="AP44">
        <v>5</v>
      </c>
      <c r="AQ44" s="3">
        <f t="shared" si="33"/>
        <v>0.75872534142640369</v>
      </c>
      <c r="AR44">
        <v>33</v>
      </c>
      <c r="AS44" s="3">
        <f t="shared" si="34"/>
        <v>5.0075872534142638</v>
      </c>
      <c r="AT44" t="s">
        <v>208</v>
      </c>
      <c r="AV44"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236.45454545454544</v>
      </c>
      <c r="AW44" s="13">
        <f>2*(Мособлдума_партии[[#This Row],[6. Всероссийская политическая партия "ЕДИНАЯ РОССИЯ"]]-(AA$124/100)*Мособлдума_партии[[#This Row],[Число действительных бюллетеней]])</f>
        <v>312.11999999999995</v>
      </c>
      <c r="AX44" s="13">
        <f>(Мособлдума_партии[[#This Row],[Вброс]]+Мособлдума_партии[[#This Row],[Перекладывание]])/2</f>
        <v>274.28727272727269</v>
      </c>
      <c r="AY44" s="13" t="str">
        <f>Дума_партии[[#This Row],[Зона ответственности в сен. 2022 г.]]</f>
        <v>Одинцово КПРФ</v>
      </c>
    </row>
    <row r="45" spans="2:51" x14ac:dyDescent="0.4">
      <c r="B45" t="s">
        <v>74</v>
      </c>
      <c r="C45" t="s">
        <v>207</v>
      </c>
      <c r="D45" t="s">
        <v>102</v>
      </c>
      <c r="E45" t="s">
        <v>146</v>
      </c>
      <c r="F45" s="10">
        <f t="shared" ca="1" si="19"/>
        <v>1785</v>
      </c>
      <c r="G45" s="1" t="str">
        <f>Дума_партии[[#This Row],[Местоположение]]</f>
        <v>Апрелевка</v>
      </c>
      <c r="H45">
        <v>1760</v>
      </c>
      <c r="I45" s="10">
        <f>Мособлдума_партии[[#This Row],[Число избирателей, внесенных в список на момент окончания голосования]]</f>
        <v>1760</v>
      </c>
      <c r="J45">
        <v>1700</v>
      </c>
      <c r="K45" s="1"/>
      <c r="L45">
        <v>650</v>
      </c>
      <c r="M45">
        <v>10</v>
      </c>
      <c r="N45" s="3">
        <f t="shared" si="20"/>
        <v>37.5</v>
      </c>
      <c r="O45" s="3">
        <f t="shared" si="21"/>
        <v>0.56818181818181823</v>
      </c>
      <c r="P45">
        <v>1040</v>
      </c>
      <c r="Q45">
        <v>10</v>
      </c>
      <c r="R45">
        <v>650</v>
      </c>
      <c r="S45" s="1">
        <f t="shared" si="22"/>
        <v>660</v>
      </c>
      <c r="T45" s="3">
        <f t="shared" si="23"/>
        <v>1.5151515151515151</v>
      </c>
      <c r="U45">
        <v>28</v>
      </c>
      <c r="V45" s="3">
        <f t="shared" si="24"/>
        <v>4.2424242424242422</v>
      </c>
      <c r="W45">
        <v>632</v>
      </c>
      <c r="X45">
        <v>0</v>
      </c>
      <c r="Y45">
        <v>0</v>
      </c>
      <c r="Z45">
        <v>7</v>
      </c>
      <c r="AA45" s="3">
        <f t="shared" si="25"/>
        <v>1.0606060606060606</v>
      </c>
      <c r="AB45">
        <v>50</v>
      </c>
      <c r="AC45" s="3">
        <f t="shared" si="26"/>
        <v>7.5757575757575761</v>
      </c>
      <c r="AD45">
        <v>31</v>
      </c>
      <c r="AE45" s="3">
        <f t="shared" si="27"/>
        <v>4.6969696969696972</v>
      </c>
      <c r="AF45">
        <v>16</v>
      </c>
      <c r="AG45" s="3">
        <f t="shared" si="28"/>
        <v>2.4242424242424243</v>
      </c>
      <c r="AH45">
        <v>111</v>
      </c>
      <c r="AI45" s="3">
        <f t="shared" si="29"/>
        <v>16.818181818181817</v>
      </c>
      <c r="AJ45">
        <v>326</v>
      </c>
      <c r="AK45" s="3">
        <f t="shared" si="30"/>
        <v>49.393939393939391</v>
      </c>
      <c r="AL45">
        <v>10</v>
      </c>
      <c r="AM45" s="3">
        <f t="shared" si="31"/>
        <v>1.5151515151515151</v>
      </c>
      <c r="AN45">
        <v>28</v>
      </c>
      <c r="AO45" s="3">
        <f t="shared" si="32"/>
        <v>4.2424242424242422</v>
      </c>
      <c r="AP45">
        <v>14</v>
      </c>
      <c r="AQ45" s="3">
        <f t="shared" si="33"/>
        <v>2.1212121212121211</v>
      </c>
      <c r="AR45">
        <v>39</v>
      </c>
      <c r="AS45" s="3">
        <f t="shared" si="34"/>
        <v>5.9090909090909092</v>
      </c>
      <c r="AT45" t="s">
        <v>208</v>
      </c>
      <c r="AV45"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168.36363636363635</v>
      </c>
      <c r="AW45" s="13">
        <f>2*(Мособлдума_партии[[#This Row],[6. Всероссийская политическая партия "ЕДИНАЯ РОССИЯ"]]-(AA$124/100)*Мособлдума_партии[[#This Row],[Число действительных бюллетеней]])</f>
        <v>222.23999999999995</v>
      </c>
      <c r="AX45" s="13">
        <f>(Мособлдума_партии[[#This Row],[Вброс]]+Мособлдума_партии[[#This Row],[Перекладывание]])/2</f>
        <v>195.30181818181813</v>
      </c>
      <c r="AY45" s="13" t="str">
        <f>Дума_партии[[#This Row],[Зона ответственности в сен. 2022 г.]]</f>
        <v>Одинцово КПРФ</v>
      </c>
    </row>
    <row r="46" spans="2:51" x14ac:dyDescent="0.4">
      <c r="B46" t="s">
        <v>74</v>
      </c>
      <c r="C46" t="s">
        <v>207</v>
      </c>
      <c r="D46" t="s">
        <v>102</v>
      </c>
      <c r="E46" t="s">
        <v>147</v>
      </c>
      <c r="F46" s="10">
        <f t="shared" ca="1" si="19"/>
        <v>1786</v>
      </c>
      <c r="G46" s="1" t="str">
        <f>Дума_партии[[#This Row],[Местоположение]]</f>
        <v>Апрелевка</v>
      </c>
      <c r="H46">
        <v>1126</v>
      </c>
      <c r="I46" s="10">
        <f>Мособлдума_партии[[#This Row],[Число избирателей, внесенных в список на момент окончания голосования]]</f>
        <v>1126</v>
      </c>
      <c r="J46">
        <v>1100</v>
      </c>
      <c r="K46" s="1"/>
      <c r="L46">
        <v>325</v>
      </c>
      <c r="M46">
        <v>11</v>
      </c>
      <c r="N46" s="3">
        <f t="shared" si="20"/>
        <v>29.840142095914743</v>
      </c>
      <c r="O46" s="3">
        <f t="shared" si="21"/>
        <v>0.9769094138543517</v>
      </c>
      <c r="P46">
        <v>764</v>
      </c>
      <c r="Q46">
        <v>11</v>
      </c>
      <c r="R46">
        <v>325</v>
      </c>
      <c r="S46" s="1">
        <f t="shared" si="22"/>
        <v>336</v>
      </c>
      <c r="T46" s="3">
        <f t="shared" si="23"/>
        <v>3.2738095238095237</v>
      </c>
      <c r="U46">
        <v>11</v>
      </c>
      <c r="V46" s="3">
        <f t="shared" si="24"/>
        <v>3.2738095238095237</v>
      </c>
      <c r="W46">
        <v>325</v>
      </c>
      <c r="X46">
        <v>0</v>
      </c>
      <c r="Y46">
        <v>0</v>
      </c>
      <c r="Z46">
        <v>38</v>
      </c>
      <c r="AA46" s="3">
        <f t="shared" si="25"/>
        <v>11.30952380952381</v>
      </c>
      <c r="AB46">
        <v>18</v>
      </c>
      <c r="AC46" s="3">
        <f t="shared" si="26"/>
        <v>5.3571428571428568</v>
      </c>
      <c r="AD46">
        <v>25</v>
      </c>
      <c r="AE46" s="3">
        <f t="shared" si="27"/>
        <v>7.4404761904761907</v>
      </c>
      <c r="AF46">
        <v>18</v>
      </c>
      <c r="AG46" s="3">
        <f t="shared" si="28"/>
        <v>5.3571428571428568</v>
      </c>
      <c r="AH46">
        <v>54</v>
      </c>
      <c r="AI46" s="3">
        <f t="shared" si="29"/>
        <v>16.071428571428573</v>
      </c>
      <c r="AJ46">
        <v>117</v>
      </c>
      <c r="AK46" s="3">
        <f t="shared" si="30"/>
        <v>34.821428571428569</v>
      </c>
      <c r="AL46">
        <v>14</v>
      </c>
      <c r="AM46" s="3">
        <f t="shared" si="31"/>
        <v>4.166666666666667</v>
      </c>
      <c r="AN46">
        <v>9</v>
      </c>
      <c r="AO46" s="3">
        <f t="shared" si="32"/>
        <v>2.6785714285714284</v>
      </c>
      <c r="AP46">
        <v>8</v>
      </c>
      <c r="AQ46" s="3">
        <f t="shared" si="33"/>
        <v>2.3809523809523809</v>
      </c>
      <c r="AR46">
        <v>24</v>
      </c>
      <c r="AS46" s="3">
        <f t="shared" si="34"/>
        <v>7.1428571428571432</v>
      </c>
      <c r="AT46" t="s">
        <v>208</v>
      </c>
      <c r="AV46"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9.84848484848483</v>
      </c>
      <c r="AW46" s="13">
        <f>2*(Мособлдума_партии[[#This Row],[6. Всероссийская политическая партия "ЕДИНАЯ РОССИЯ"]]-(AA$124/100)*Мособлдума_партии[[#This Row],[Число действительных бюллетеней]])</f>
        <v>12.999999999999972</v>
      </c>
      <c r="AX46" s="13">
        <f>(Мособлдума_партии[[#This Row],[Вброс]]+Мособлдума_партии[[#This Row],[Перекладывание]])/2</f>
        <v>11.424242424242401</v>
      </c>
      <c r="AY46" s="13" t="str">
        <f>Дума_партии[[#This Row],[Зона ответственности в сен. 2022 г.]]</f>
        <v>Одинцово КПРФ</v>
      </c>
    </row>
    <row r="47" spans="2:51" x14ac:dyDescent="0.4">
      <c r="B47" t="s">
        <v>74</v>
      </c>
      <c r="C47" t="s">
        <v>207</v>
      </c>
      <c r="D47" t="s">
        <v>102</v>
      </c>
      <c r="E47" t="s">
        <v>148</v>
      </c>
      <c r="F47" s="10">
        <f t="shared" ca="1" si="19"/>
        <v>1787</v>
      </c>
      <c r="G47" s="1" t="str">
        <f>Дума_партии[[#This Row],[Местоположение]]</f>
        <v>Апрелевка</v>
      </c>
      <c r="H47">
        <v>1446</v>
      </c>
      <c r="I47" s="10">
        <f>Мособлдума_партии[[#This Row],[Число избирателей, внесенных в список на момент окончания голосования]]</f>
        <v>1446</v>
      </c>
      <c r="J47">
        <v>1400</v>
      </c>
      <c r="K47" s="1"/>
      <c r="L47">
        <v>373</v>
      </c>
      <c r="M47">
        <v>245</v>
      </c>
      <c r="N47" s="3">
        <f t="shared" si="20"/>
        <v>42.738589211618255</v>
      </c>
      <c r="O47" s="3">
        <f t="shared" si="21"/>
        <v>16.9432918395574</v>
      </c>
      <c r="P47">
        <v>782</v>
      </c>
      <c r="Q47">
        <v>245</v>
      </c>
      <c r="R47">
        <v>373</v>
      </c>
      <c r="S47" s="1">
        <f t="shared" si="22"/>
        <v>618</v>
      </c>
      <c r="T47" s="3">
        <f t="shared" si="23"/>
        <v>39.644012944983821</v>
      </c>
      <c r="U47">
        <v>29</v>
      </c>
      <c r="V47" s="3">
        <f t="shared" si="24"/>
        <v>4.6925566343042071</v>
      </c>
      <c r="W47">
        <v>589</v>
      </c>
      <c r="X47">
        <v>0</v>
      </c>
      <c r="Y47">
        <v>0</v>
      </c>
      <c r="Z47">
        <v>7</v>
      </c>
      <c r="AA47" s="3">
        <f t="shared" si="25"/>
        <v>1.1326860841423949</v>
      </c>
      <c r="AB47">
        <v>18</v>
      </c>
      <c r="AC47" s="3">
        <f t="shared" si="26"/>
        <v>2.912621359223301</v>
      </c>
      <c r="AD47">
        <v>29</v>
      </c>
      <c r="AE47" s="3">
        <f t="shared" si="27"/>
        <v>4.6925566343042071</v>
      </c>
      <c r="AF47">
        <v>22</v>
      </c>
      <c r="AG47" s="3">
        <f t="shared" si="28"/>
        <v>3.5598705501618122</v>
      </c>
      <c r="AH47">
        <v>114</v>
      </c>
      <c r="AI47" s="3">
        <f t="shared" si="29"/>
        <v>18.446601941747574</v>
      </c>
      <c r="AJ47">
        <v>333</v>
      </c>
      <c r="AK47" s="3">
        <f t="shared" si="30"/>
        <v>53.883495145631066</v>
      </c>
      <c r="AL47">
        <v>9</v>
      </c>
      <c r="AM47" s="3">
        <f t="shared" si="31"/>
        <v>1.4563106796116505</v>
      </c>
      <c r="AN47">
        <v>15</v>
      </c>
      <c r="AO47" s="3">
        <f t="shared" si="32"/>
        <v>2.4271844660194173</v>
      </c>
      <c r="AP47">
        <v>9</v>
      </c>
      <c r="AQ47" s="3">
        <f t="shared" si="33"/>
        <v>1.4563106796116505</v>
      </c>
      <c r="AR47">
        <v>33</v>
      </c>
      <c r="AS47" s="3">
        <f t="shared" si="34"/>
        <v>5.3398058252427187</v>
      </c>
      <c r="AT47" t="s">
        <v>208</v>
      </c>
      <c r="AV47"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201.1212121212121</v>
      </c>
      <c r="AW47" s="13">
        <f>2*(Мособлдума_партии[[#This Row],[6. Всероссийская политическая партия "ЕДИНАЯ РОССИЯ"]]-(AA$124/100)*Мособлдума_партии[[#This Row],[Число действительных бюллетеней]])</f>
        <v>265.47999999999996</v>
      </c>
      <c r="AX47" s="13">
        <f>(Мособлдума_партии[[#This Row],[Вброс]]+Мособлдума_партии[[#This Row],[Перекладывание]])/2</f>
        <v>233.30060606060601</v>
      </c>
      <c r="AY47" s="13" t="str">
        <f>Дума_партии[[#This Row],[Зона ответственности в сен. 2022 г.]]</f>
        <v>Одинцово КПРФ</v>
      </c>
    </row>
    <row r="48" spans="2:51" x14ac:dyDescent="0.4">
      <c r="B48" t="s">
        <v>74</v>
      </c>
      <c r="C48" t="s">
        <v>207</v>
      </c>
      <c r="D48" t="s">
        <v>102</v>
      </c>
      <c r="E48" t="s">
        <v>149</v>
      </c>
      <c r="F48" s="10">
        <f t="shared" ca="1" si="19"/>
        <v>1788</v>
      </c>
      <c r="G48" s="1" t="str">
        <f>Дума_партии[[#This Row],[Местоположение]]</f>
        <v>Апрелевка</v>
      </c>
      <c r="H48">
        <v>1218</v>
      </c>
      <c r="I48" s="10">
        <f>Мособлдума_партии[[#This Row],[Число избирателей, внесенных в список на момент окончания голосования]]</f>
        <v>1218</v>
      </c>
      <c r="J48">
        <v>1200</v>
      </c>
      <c r="K48" s="1"/>
      <c r="L48">
        <v>406</v>
      </c>
      <c r="M48">
        <v>70</v>
      </c>
      <c r="N48" s="3">
        <f t="shared" si="20"/>
        <v>39.080459770114942</v>
      </c>
      <c r="O48" s="3">
        <f t="shared" si="21"/>
        <v>5.7471264367816088</v>
      </c>
      <c r="P48">
        <v>724</v>
      </c>
      <c r="Q48">
        <v>70</v>
      </c>
      <c r="R48">
        <v>406</v>
      </c>
      <c r="S48" s="1">
        <f t="shared" si="22"/>
        <v>476</v>
      </c>
      <c r="T48" s="3">
        <f t="shared" si="23"/>
        <v>14.705882352941176</v>
      </c>
      <c r="U48">
        <v>42</v>
      </c>
      <c r="V48" s="3">
        <f t="shared" si="24"/>
        <v>8.8235294117647065</v>
      </c>
      <c r="W48">
        <v>434</v>
      </c>
      <c r="X48">
        <v>0</v>
      </c>
      <c r="Y48">
        <v>0</v>
      </c>
      <c r="Z48">
        <v>11</v>
      </c>
      <c r="AA48" s="3">
        <f t="shared" si="25"/>
        <v>2.3109243697478989</v>
      </c>
      <c r="AB48">
        <v>38</v>
      </c>
      <c r="AC48" s="3">
        <f t="shared" si="26"/>
        <v>7.9831932773109244</v>
      </c>
      <c r="AD48">
        <v>28</v>
      </c>
      <c r="AE48" s="3">
        <f t="shared" si="27"/>
        <v>5.882352941176471</v>
      </c>
      <c r="AF48">
        <v>33</v>
      </c>
      <c r="AG48" s="3">
        <f t="shared" si="28"/>
        <v>6.9327731092436977</v>
      </c>
      <c r="AH48">
        <v>102</v>
      </c>
      <c r="AI48" s="3">
        <f t="shared" si="29"/>
        <v>21.428571428571427</v>
      </c>
      <c r="AJ48">
        <v>128</v>
      </c>
      <c r="AK48" s="3">
        <f t="shared" si="30"/>
        <v>26.890756302521009</v>
      </c>
      <c r="AL48">
        <v>16</v>
      </c>
      <c r="AM48" s="3">
        <f t="shared" si="31"/>
        <v>3.3613445378151261</v>
      </c>
      <c r="AN48">
        <v>27</v>
      </c>
      <c r="AO48" s="3">
        <f t="shared" si="32"/>
        <v>5.6722689075630255</v>
      </c>
      <c r="AP48">
        <v>16</v>
      </c>
      <c r="AQ48" s="3">
        <f t="shared" si="33"/>
        <v>3.3613445378151261</v>
      </c>
      <c r="AR48">
        <v>35</v>
      </c>
      <c r="AS48" s="3">
        <f t="shared" si="34"/>
        <v>7.3529411764705879</v>
      </c>
      <c r="AT48" t="s">
        <v>208</v>
      </c>
      <c r="AV48"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-29.636363636363654</v>
      </c>
      <c r="AW48" s="13">
        <f>2*(Мособлдума_партии[[#This Row],[6. Всероссийская политическая партия "ЕДИНАЯ РОССИЯ"]]-(AA$124/100)*Мособлдума_партии[[#This Row],[Число действительных бюллетеней]])</f>
        <v>-39.120000000000005</v>
      </c>
      <c r="AX48" s="13">
        <f>(Мособлдума_партии[[#This Row],[Вброс]]+Мособлдума_партии[[#This Row],[Перекладывание]])/2</f>
        <v>-34.378181818181829</v>
      </c>
      <c r="AY48" s="13" t="str">
        <f>Дума_партии[[#This Row],[Зона ответственности в сен. 2022 г.]]</f>
        <v>Одинцово КПРФ</v>
      </c>
    </row>
    <row r="49" spans="2:51" x14ac:dyDescent="0.4">
      <c r="B49" t="s">
        <v>74</v>
      </c>
      <c r="C49" t="s">
        <v>207</v>
      </c>
      <c r="D49" t="s">
        <v>102</v>
      </c>
      <c r="E49" t="s">
        <v>150</v>
      </c>
      <c r="F49" s="10">
        <f t="shared" ca="1" si="19"/>
        <v>1789</v>
      </c>
      <c r="G49" s="1" t="str">
        <f>Дума_партии[[#This Row],[Местоположение]]</f>
        <v>Апрелевка</v>
      </c>
      <c r="H49">
        <v>3186</v>
      </c>
      <c r="I49" s="10">
        <f>Мособлдума_партии[[#This Row],[Число избирателей, внесенных в список на момент окончания голосования]]</f>
        <v>3186</v>
      </c>
      <c r="J49">
        <v>3000</v>
      </c>
      <c r="K49" s="1"/>
      <c r="L49">
        <v>1113</v>
      </c>
      <c r="M49">
        <v>7</v>
      </c>
      <c r="N49" s="3">
        <f t="shared" si="20"/>
        <v>35.15379786566227</v>
      </c>
      <c r="O49" s="3">
        <f t="shared" si="21"/>
        <v>0.21971123666038919</v>
      </c>
      <c r="P49">
        <v>1880</v>
      </c>
      <c r="Q49">
        <v>7</v>
      </c>
      <c r="R49">
        <v>1113</v>
      </c>
      <c r="S49" s="1">
        <f t="shared" si="22"/>
        <v>1120</v>
      </c>
      <c r="T49" s="3">
        <f t="shared" si="23"/>
        <v>0.625</v>
      </c>
      <c r="U49">
        <v>21</v>
      </c>
      <c r="V49" s="3">
        <f t="shared" si="24"/>
        <v>1.875</v>
      </c>
      <c r="W49">
        <v>1099</v>
      </c>
      <c r="X49">
        <v>0</v>
      </c>
      <c r="Y49">
        <v>0</v>
      </c>
      <c r="Z49">
        <v>8</v>
      </c>
      <c r="AA49" s="3">
        <f t="shared" si="25"/>
        <v>0.7142857142857143</v>
      </c>
      <c r="AB49">
        <v>71</v>
      </c>
      <c r="AC49" s="3">
        <f t="shared" si="26"/>
        <v>6.3392857142857144</v>
      </c>
      <c r="AD49">
        <v>69</v>
      </c>
      <c r="AE49" s="3">
        <f t="shared" si="27"/>
        <v>6.1607142857142856</v>
      </c>
      <c r="AF49">
        <v>31</v>
      </c>
      <c r="AG49" s="3">
        <f t="shared" si="28"/>
        <v>2.7678571428571428</v>
      </c>
      <c r="AH49">
        <v>171</v>
      </c>
      <c r="AI49" s="3">
        <f t="shared" si="29"/>
        <v>15.267857142857142</v>
      </c>
      <c r="AJ49">
        <v>618</v>
      </c>
      <c r="AK49" s="3">
        <f t="shared" si="30"/>
        <v>55.178571428571431</v>
      </c>
      <c r="AL49">
        <v>31</v>
      </c>
      <c r="AM49" s="3">
        <f t="shared" si="31"/>
        <v>2.7678571428571428</v>
      </c>
      <c r="AN49">
        <v>42</v>
      </c>
      <c r="AO49" s="3">
        <f t="shared" si="32"/>
        <v>3.75</v>
      </c>
      <c r="AP49">
        <v>12</v>
      </c>
      <c r="AQ49" s="3">
        <f t="shared" si="33"/>
        <v>1.0714285714285714</v>
      </c>
      <c r="AR49">
        <v>46</v>
      </c>
      <c r="AS49" s="3">
        <f t="shared" si="34"/>
        <v>4.1071428571428568</v>
      </c>
      <c r="AT49" t="s">
        <v>208</v>
      </c>
      <c r="AV49"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370.21212121212113</v>
      </c>
      <c r="AW49" s="13">
        <f>2*(Мособлдума_партии[[#This Row],[6. Всероссийская политическая партия "ЕДИНАЯ РОССИЯ"]]-(AA$124/100)*Мособлдума_партии[[#This Row],[Число действительных бюллетеней]])</f>
        <v>488.67999999999995</v>
      </c>
      <c r="AX49" s="13">
        <f>(Мособлдума_партии[[#This Row],[Вброс]]+Мособлдума_партии[[#This Row],[Перекладывание]])/2</f>
        <v>429.44606060606054</v>
      </c>
      <c r="AY49" s="13" t="str">
        <f>Дума_партии[[#This Row],[Зона ответственности в сен. 2022 г.]]</f>
        <v>Одинцово КПРФ</v>
      </c>
    </row>
    <row r="50" spans="2:51" x14ac:dyDescent="0.4">
      <c r="B50" t="s">
        <v>74</v>
      </c>
      <c r="C50" t="s">
        <v>207</v>
      </c>
      <c r="D50" t="s">
        <v>102</v>
      </c>
      <c r="E50" t="s">
        <v>151</v>
      </c>
      <c r="F50" s="10">
        <f t="shared" ca="1" si="19"/>
        <v>1790</v>
      </c>
      <c r="G50" s="1" t="str">
        <f>Дума_партии[[#This Row],[Местоположение]]</f>
        <v>Верея</v>
      </c>
      <c r="H50">
        <v>1253</v>
      </c>
      <c r="I50" s="10">
        <f>Мособлдума_партии[[#This Row],[Число избирателей, внесенных в список на момент окончания голосования]]</f>
        <v>1253</v>
      </c>
      <c r="J50">
        <v>1200</v>
      </c>
      <c r="K50" s="1"/>
      <c r="L50">
        <v>491</v>
      </c>
      <c r="M50">
        <v>33</v>
      </c>
      <c r="N50" s="3">
        <f t="shared" si="20"/>
        <v>41.819632881085397</v>
      </c>
      <c r="O50" s="3">
        <f t="shared" si="21"/>
        <v>2.633679169992019</v>
      </c>
      <c r="P50">
        <v>676</v>
      </c>
      <c r="Q50">
        <v>33</v>
      </c>
      <c r="R50">
        <v>491</v>
      </c>
      <c r="S50" s="1">
        <f t="shared" si="22"/>
        <v>524</v>
      </c>
      <c r="T50" s="3">
        <f t="shared" si="23"/>
        <v>6.2977099236641223</v>
      </c>
      <c r="U50">
        <v>33</v>
      </c>
      <c r="V50" s="3">
        <f t="shared" si="24"/>
        <v>6.2977099236641223</v>
      </c>
      <c r="W50">
        <v>491</v>
      </c>
      <c r="X50">
        <v>0</v>
      </c>
      <c r="Y50">
        <v>0</v>
      </c>
      <c r="Z50">
        <v>9</v>
      </c>
      <c r="AA50" s="3">
        <f t="shared" si="25"/>
        <v>1.717557251908397</v>
      </c>
      <c r="AB50">
        <v>55</v>
      </c>
      <c r="AC50" s="3">
        <f t="shared" si="26"/>
        <v>10.496183206106871</v>
      </c>
      <c r="AD50">
        <v>27</v>
      </c>
      <c r="AE50" s="3">
        <f t="shared" si="27"/>
        <v>5.1526717557251906</v>
      </c>
      <c r="AF50">
        <v>29</v>
      </c>
      <c r="AG50" s="3">
        <f t="shared" si="28"/>
        <v>5.5343511450381682</v>
      </c>
      <c r="AH50">
        <v>137</v>
      </c>
      <c r="AI50" s="3">
        <f t="shared" si="29"/>
        <v>26.145038167938932</v>
      </c>
      <c r="AJ50">
        <v>176</v>
      </c>
      <c r="AK50" s="3">
        <f t="shared" si="30"/>
        <v>33.587786259541986</v>
      </c>
      <c r="AL50">
        <v>13</v>
      </c>
      <c r="AM50" s="3">
        <f t="shared" si="31"/>
        <v>2.4809160305343512</v>
      </c>
      <c r="AN50">
        <v>2</v>
      </c>
      <c r="AO50" s="3">
        <f t="shared" si="32"/>
        <v>0.38167938931297712</v>
      </c>
      <c r="AP50">
        <v>15</v>
      </c>
      <c r="AQ50" s="3">
        <f t="shared" si="33"/>
        <v>2.8625954198473282</v>
      </c>
      <c r="AR50">
        <v>28</v>
      </c>
      <c r="AS50" s="3">
        <f t="shared" si="34"/>
        <v>5.343511450381679</v>
      </c>
      <c r="AT50" t="s">
        <v>208</v>
      </c>
      <c r="AV50"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13.727272727272691</v>
      </c>
      <c r="AW50" s="13">
        <f>2*(Мособлдума_партии[[#This Row],[6. Всероссийская политическая партия "ЕДИНАЯ РОССИЯ"]]-(AA$124/100)*Мособлдума_партии[[#This Row],[Число действительных бюллетеней]])</f>
        <v>18.119999999999948</v>
      </c>
      <c r="AX50" s="13">
        <f>(Мособлдума_партии[[#This Row],[Вброс]]+Мособлдума_партии[[#This Row],[Перекладывание]])/2</f>
        <v>15.923636363636319</v>
      </c>
      <c r="AY50" s="13">
        <f>Дума_партии[[#This Row],[Зона ответственности в сен. 2022 г.]]</f>
        <v>0</v>
      </c>
    </row>
    <row r="51" spans="2:51" x14ac:dyDescent="0.4">
      <c r="B51" t="s">
        <v>74</v>
      </c>
      <c r="C51" t="s">
        <v>207</v>
      </c>
      <c r="D51" t="s">
        <v>102</v>
      </c>
      <c r="E51" t="s">
        <v>152</v>
      </c>
      <c r="F51" s="10">
        <f t="shared" ca="1" si="19"/>
        <v>1791</v>
      </c>
      <c r="G51" s="1" t="str">
        <f>Дума_партии[[#This Row],[Местоположение]]</f>
        <v>Верея</v>
      </c>
      <c r="H51">
        <v>1259</v>
      </c>
      <c r="I51" s="10">
        <f>Мособлдума_партии[[#This Row],[Число избирателей, внесенных в список на момент окончания голосования]]</f>
        <v>1259</v>
      </c>
      <c r="J51">
        <v>1200</v>
      </c>
      <c r="K51" s="1"/>
      <c r="L51">
        <v>394</v>
      </c>
      <c r="M51">
        <v>43</v>
      </c>
      <c r="N51" s="3">
        <f t="shared" si="20"/>
        <v>34.710087370929308</v>
      </c>
      <c r="O51" s="3">
        <f t="shared" si="21"/>
        <v>3.415409054805401</v>
      </c>
      <c r="P51">
        <v>763</v>
      </c>
      <c r="Q51">
        <v>43</v>
      </c>
      <c r="R51">
        <v>394</v>
      </c>
      <c r="S51" s="1">
        <f t="shared" si="22"/>
        <v>437</v>
      </c>
      <c r="T51" s="3">
        <f t="shared" si="23"/>
        <v>9.8398169336384438</v>
      </c>
      <c r="U51">
        <v>24</v>
      </c>
      <c r="V51" s="3">
        <f t="shared" si="24"/>
        <v>5.4919908466819223</v>
      </c>
      <c r="W51">
        <v>413</v>
      </c>
      <c r="X51">
        <v>0</v>
      </c>
      <c r="Y51">
        <v>0</v>
      </c>
      <c r="Z51">
        <v>7</v>
      </c>
      <c r="AA51" s="3">
        <f t="shared" si="25"/>
        <v>1.6018306636155606</v>
      </c>
      <c r="AB51">
        <v>60</v>
      </c>
      <c r="AC51" s="3">
        <f t="shared" si="26"/>
        <v>13.729977116704806</v>
      </c>
      <c r="AD51">
        <v>23</v>
      </c>
      <c r="AE51" s="3">
        <f t="shared" si="27"/>
        <v>5.2631578947368425</v>
      </c>
      <c r="AF51">
        <v>40</v>
      </c>
      <c r="AG51" s="3">
        <f t="shared" si="28"/>
        <v>9.1533180778032044</v>
      </c>
      <c r="AH51">
        <v>107</v>
      </c>
      <c r="AI51" s="3">
        <f t="shared" si="29"/>
        <v>24.48512585812357</v>
      </c>
      <c r="AJ51">
        <v>120</v>
      </c>
      <c r="AK51" s="3">
        <f t="shared" si="30"/>
        <v>27.459954233409611</v>
      </c>
      <c r="AL51">
        <v>4</v>
      </c>
      <c r="AM51" s="3">
        <f t="shared" si="31"/>
        <v>0.91533180778032042</v>
      </c>
      <c r="AN51">
        <v>3</v>
      </c>
      <c r="AO51" s="3">
        <f t="shared" si="32"/>
        <v>0.68649885583524028</v>
      </c>
      <c r="AP51">
        <v>16</v>
      </c>
      <c r="AQ51" s="3">
        <f t="shared" si="33"/>
        <v>3.6613272311212817</v>
      </c>
      <c r="AR51">
        <v>33</v>
      </c>
      <c r="AS51" s="3">
        <f t="shared" si="34"/>
        <v>7.5514874141876431</v>
      </c>
      <c r="AT51" t="s">
        <v>208</v>
      </c>
      <c r="AV51"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-30.939393939393966</v>
      </c>
      <c r="AW51" s="13">
        <f>2*(Мособлдума_партии[[#This Row],[6. Всероссийская политическая партия "ЕДИНАЯ РОССИЯ"]]-(AA$124/100)*Мособлдума_партии[[#This Row],[Число действительных бюллетеней]])</f>
        <v>-40.840000000000032</v>
      </c>
      <c r="AX51" s="13">
        <f>(Мособлдума_партии[[#This Row],[Вброс]]+Мособлдума_партии[[#This Row],[Перекладывание]])/2</f>
        <v>-35.889696969696999</v>
      </c>
      <c r="AY51" s="13">
        <f>Дума_партии[[#This Row],[Зона ответственности в сен. 2022 г.]]</f>
        <v>0</v>
      </c>
    </row>
    <row r="52" spans="2:51" x14ac:dyDescent="0.4">
      <c r="B52" t="s">
        <v>74</v>
      </c>
      <c r="C52" t="s">
        <v>207</v>
      </c>
      <c r="D52" t="s">
        <v>102</v>
      </c>
      <c r="E52" t="s">
        <v>153</v>
      </c>
      <c r="F52" s="10">
        <f t="shared" ca="1" si="19"/>
        <v>1792</v>
      </c>
      <c r="G52" s="1" t="str">
        <f>Дума_партии[[#This Row],[Местоположение]]</f>
        <v>Симбухово</v>
      </c>
      <c r="H52">
        <v>246</v>
      </c>
      <c r="I52" s="10">
        <f>Мособлдума_партии[[#This Row],[Число избирателей, внесенных в список на момент окончания голосования]]</f>
        <v>246</v>
      </c>
      <c r="J52">
        <v>200</v>
      </c>
      <c r="K52" s="1"/>
      <c r="L52">
        <v>61</v>
      </c>
      <c r="M52">
        <v>27</v>
      </c>
      <c r="N52" s="3">
        <f t="shared" si="20"/>
        <v>35.772357723577237</v>
      </c>
      <c r="O52" s="3">
        <f t="shared" si="21"/>
        <v>10.975609756097562</v>
      </c>
      <c r="P52">
        <v>112</v>
      </c>
      <c r="Q52">
        <v>27</v>
      </c>
      <c r="R52">
        <v>61</v>
      </c>
      <c r="S52" s="1">
        <f t="shared" si="22"/>
        <v>88</v>
      </c>
      <c r="T52" s="3">
        <f t="shared" si="23"/>
        <v>30.681818181818183</v>
      </c>
      <c r="U52">
        <v>5</v>
      </c>
      <c r="V52" s="3">
        <f t="shared" si="24"/>
        <v>5.6818181818181817</v>
      </c>
      <c r="W52">
        <v>83</v>
      </c>
      <c r="X52">
        <v>0</v>
      </c>
      <c r="Y52">
        <v>0</v>
      </c>
      <c r="Z52">
        <v>1</v>
      </c>
      <c r="AA52" s="3">
        <f t="shared" si="25"/>
        <v>1.1363636363636365</v>
      </c>
      <c r="AB52">
        <v>11</v>
      </c>
      <c r="AC52" s="3">
        <f t="shared" si="26"/>
        <v>12.5</v>
      </c>
      <c r="AD52">
        <v>3</v>
      </c>
      <c r="AE52" s="3">
        <f t="shared" si="27"/>
        <v>3.4090909090909092</v>
      </c>
      <c r="AF52">
        <v>6</v>
      </c>
      <c r="AG52" s="3">
        <f t="shared" si="28"/>
        <v>6.8181818181818183</v>
      </c>
      <c r="AH52">
        <v>24</v>
      </c>
      <c r="AI52" s="3">
        <f t="shared" si="29"/>
        <v>27.272727272727273</v>
      </c>
      <c r="AJ52">
        <v>24</v>
      </c>
      <c r="AK52" s="3">
        <f t="shared" si="30"/>
        <v>27.272727272727273</v>
      </c>
      <c r="AL52">
        <v>2</v>
      </c>
      <c r="AM52" s="3">
        <f t="shared" si="31"/>
        <v>2.2727272727272729</v>
      </c>
      <c r="AN52">
        <v>0</v>
      </c>
      <c r="AO52" s="3">
        <f t="shared" si="32"/>
        <v>0</v>
      </c>
      <c r="AP52">
        <v>4</v>
      </c>
      <c r="AQ52" s="3">
        <f t="shared" si="33"/>
        <v>4.5454545454545459</v>
      </c>
      <c r="AR52">
        <v>8</v>
      </c>
      <c r="AS52" s="3">
        <f t="shared" si="34"/>
        <v>9.0909090909090917</v>
      </c>
      <c r="AT52" t="s">
        <v>208</v>
      </c>
      <c r="AV52"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-6.393939393939398</v>
      </c>
      <c r="AW52" s="13">
        <f>2*(Мособлдума_партии[[#This Row],[6. Всероссийская политическая партия "ЕДИНАЯ РОССИЯ"]]-(AA$124/100)*Мособлдума_партии[[#This Row],[Число действительных бюллетеней]])</f>
        <v>-8.4400000000000048</v>
      </c>
      <c r="AX52" s="13">
        <f>(Мособлдума_партии[[#This Row],[Вброс]]+Мособлдума_партии[[#This Row],[Перекладывание]])/2</f>
        <v>-7.4169696969697014</v>
      </c>
      <c r="AY52" s="13">
        <f>Дума_партии[[#This Row],[Зона ответственности в сен. 2022 г.]]</f>
        <v>0</v>
      </c>
    </row>
    <row r="53" spans="2:51" x14ac:dyDescent="0.4">
      <c r="B53" t="s">
        <v>74</v>
      </c>
      <c r="C53" t="s">
        <v>207</v>
      </c>
      <c r="D53" t="s">
        <v>102</v>
      </c>
      <c r="E53" t="s">
        <v>154</v>
      </c>
      <c r="F53" s="10">
        <f t="shared" ca="1" si="19"/>
        <v>1793</v>
      </c>
      <c r="G53" s="1" t="str">
        <f>Дума_партии[[#This Row],[Местоположение]]</f>
        <v>Рождествено</v>
      </c>
      <c r="H53">
        <v>172</v>
      </c>
      <c r="I53" s="10">
        <f>Мособлдума_партии[[#This Row],[Число избирателей, внесенных в список на момент окончания голосования]]</f>
        <v>172</v>
      </c>
      <c r="J53">
        <v>150</v>
      </c>
      <c r="K53" s="1"/>
      <c r="L53">
        <v>59</v>
      </c>
      <c r="M53">
        <v>13</v>
      </c>
      <c r="N53" s="3">
        <f t="shared" si="20"/>
        <v>41.860465116279073</v>
      </c>
      <c r="O53" s="3">
        <f t="shared" si="21"/>
        <v>7.558139534883721</v>
      </c>
      <c r="P53">
        <v>78</v>
      </c>
      <c r="Q53">
        <v>13</v>
      </c>
      <c r="R53">
        <v>59</v>
      </c>
      <c r="S53" s="1">
        <f t="shared" si="22"/>
        <v>72</v>
      </c>
      <c r="T53" s="3">
        <f t="shared" si="23"/>
        <v>18.055555555555557</v>
      </c>
      <c r="U53">
        <v>3</v>
      </c>
      <c r="V53" s="3">
        <f t="shared" si="24"/>
        <v>4.166666666666667</v>
      </c>
      <c r="W53">
        <v>69</v>
      </c>
      <c r="X53">
        <v>0</v>
      </c>
      <c r="Y53">
        <v>0</v>
      </c>
      <c r="Z53">
        <v>0</v>
      </c>
      <c r="AA53" s="3">
        <f t="shared" si="25"/>
        <v>0</v>
      </c>
      <c r="AB53">
        <v>9</v>
      </c>
      <c r="AC53" s="3">
        <f t="shared" si="26"/>
        <v>12.5</v>
      </c>
      <c r="AD53">
        <v>4</v>
      </c>
      <c r="AE53" s="3">
        <f t="shared" si="27"/>
        <v>5.5555555555555554</v>
      </c>
      <c r="AF53">
        <v>3</v>
      </c>
      <c r="AG53" s="3">
        <f t="shared" si="28"/>
        <v>4.166666666666667</v>
      </c>
      <c r="AH53">
        <v>28</v>
      </c>
      <c r="AI53" s="3">
        <f t="shared" si="29"/>
        <v>38.888888888888886</v>
      </c>
      <c r="AJ53">
        <v>17</v>
      </c>
      <c r="AK53" s="3">
        <f t="shared" si="30"/>
        <v>23.611111111111111</v>
      </c>
      <c r="AL53">
        <v>1</v>
      </c>
      <c r="AM53" s="3">
        <f t="shared" si="31"/>
        <v>1.3888888888888888</v>
      </c>
      <c r="AN53">
        <v>1</v>
      </c>
      <c r="AO53" s="3">
        <f t="shared" si="32"/>
        <v>1.3888888888888888</v>
      </c>
      <c r="AP53">
        <v>2</v>
      </c>
      <c r="AQ53" s="3">
        <f t="shared" si="33"/>
        <v>2.7777777777777777</v>
      </c>
      <c r="AR53">
        <v>4</v>
      </c>
      <c r="AS53" s="3">
        <f t="shared" si="34"/>
        <v>5.5555555555555554</v>
      </c>
      <c r="AT53" t="s">
        <v>208</v>
      </c>
      <c r="AV53"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-9.7878787878787925</v>
      </c>
      <c r="AW53" s="13">
        <f>2*(Мособлдума_партии[[#This Row],[6. Всероссийская политическая партия "ЕДИНАЯ РОССИЯ"]]-(AA$124/100)*Мособлдума_партии[[#This Row],[Число действительных бюллетеней]])</f>
        <v>-12.920000000000002</v>
      </c>
      <c r="AX53" s="13">
        <f>(Мособлдума_партии[[#This Row],[Вброс]]+Мособлдума_партии[[#This Row],[Перекладывание]])/2</f>
        <v>-11.353939393939397</v>
      </c>
      <c r="AY53" s="13">
        <f>Дума_партии[[#This Row],[Зона ответственности в сен. 2022 г.]]</f>
        <v>0</v>
      </c>
    </row>
    <row r="54" spans="2:51" x14ac:dyDescent="0.4">
      <c r="B54" t="s">
        <v>74</v>
      </c>
      <c r="C54" t="s">
        <v>207</v>
      </c>
      <c r="D54" t="s">
        <v>102</v>
      </c>
      <c r="E54" t="s">
        <v>155</v>
      </c>
      <c r="F54" s="10">
        <f t="shared" ca="1" si="19"/>
        <v>1794</v>
      </c>
      <c r="G54" s="1" t="str">
        <f>Дума_партии[[#This Row],[Местоположение]]</f>
        <v>Верея</v>
      </c>
      <c r="H54">
        <v>334</v>
      </c>
      <c r="I54" s="10">
        <f>Мособлдума_партии[[#This Row],[Число избирателей, внесенных в список на момент окончания голосования]]</f>
        <v>334</v>
      </c>
      <c r="J54">
        <v>300</v>
      </c>
      <c r="K54" s="1"/>
      <c r="L54">
        <v>105</v>
      </c>
      <c r="M54">
        <v>17</v>
      </c>
      <c r="N54" s="3">
        <f t="shared" si="20"/>
        <v>36.526946107784433</v>
      </c>
      <c r="O54" s="3">
        <f t="shared" si="21"/>
        <v>5.0898203592814371</v>
      </c>
      <c r="P54">
        <v>178</v>
      </c>
      <c r="Q54">
        <v>17</v>
      </c>
      <c r="R54">
        <v>105</v>
      </c>
      <c r="S54" s="1">
        <f t="shared" si="22"/>
        <v>122</v>
      </c>
      <c r="T54" s="3">
        <f t="shared" si="23"/>
        <v>13.934426229508198</v>
      </c>
      <c r="U54">
        <v>8</v>
      </c>
      <c r="V54" s="3">
        <f t="shared" si="24"/>
        <v>6.557377049180328</v>
      </c>
      <c r="W54">
        <v>114</v>
      </c>
      <c r="X54">
        <v>0</v>
      </c>
      <c r="Y54">
        <v>0</v>
      </c>
      <c r="Z54">
        <v>3</v>
      </c>
      <c r="AA54" s="3">
        <f t="shared" si="25"/>
        <v>2.459016393442623</v>
      </c>
      <c r="AB54">
        <v>12</v>
      </c>
      <c r="AC54" s="3">
        <f t="shared" si="26"/>
        <v>9.8360655737704921</v>
      </c>
      <c r="AD54">
        <v>5</v>
      </c>
      <c r="AE54" s="3">
        <f t="shared" si="27"/>
        <v>4.0983606557377046</v>
      </c>
      <c r="AF54">
        <v>7</v>
      </c>
      <c r="AG54" s="3">
        <f t="shared" si="28"/>
        <v>5.7377049180327866</v>
      </c>
      <c r="AH54">
        <v>39</v>
      </c>
      <c r="AI54" s="3">
        <f t="shared" si="29"/>
        <v>31.967213114754099</v>
      </c>
      <c r="AJ54">
        <v>37</v>
      </c>
      <c r="AK54" s="3">
        <f t="shared" si="30"/>
        <v>30.327868852459016</v>
      </c>
      <c r="AL54">
        <v>1</v>
      </c>
      <c r="AM54" s="3">
        <f t="shared" si="31"/>
        <v>0.81967213114754101</v>
      </c>
      <c r="AN54">
        <v>0</v>
      </c>
      <c r="AO54" s="3">
        <f t="shared" si="32"/>
        <v>0</v>
      </c>
      <c r="AP54">
        <v>5</v>
      </c>
      <c r="AQ54" s="3">
        <f t="shared" si="33"/>
        <v>4.0983606557377046</v>
      </c>
      <c r="AR54">
        <v>5</v>
      </c>
      <c r="AS54" s="3">
        <f t="shared" si="34"/>
        <v>4.0983606557377046</v>
      </c>
      <c r="AT54" t="s">
        <v>208</v>
      </c>
      <c r="AV54"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-2.6666666666666714</v>
      </c>
      <c r="AW54" s="13">
        <f>2*(Мособлдума_партии[[#This Row],[6. Всероссийская политическая партия "ЕДИНАЯ РОССИЯ"]]-(AA$124/100)*Мособлдума_партии[[#This Row],[Число действительных бюллетеней]])</f>
        <v>-3.5200000000000102</v>
      </c>
      <c r="AX54" s="13">
        <f>(Мособлдума_партии[[#This Row],[Вброс]]+Мособлдума_партии[[#This Row],[Перекладывание]])/2</f>
        <v>-3.0933333333333408</v>
      </c>
      <c r="AY54" s="13">
        <f>Дума_партии[[#This Row],[Зона ответственности в сен. 2022 г.]]</f>
        <v>0</v>
      </c>
    </row>
    <row r="55" spans="2:51" x14ac:dyDescent="0.4">
      <c r="B55" t="s">
        <v>74</v>
      </c>
      <c r="C55" t="s">
        <v>207</v>
      </c>
      <c r="D55" t="s">
        <v>102</v>
      </c>
      <c r="E55" t="s">
        <v>156</v>
      </c>
      <c r="F55" s="10">
        <f t="shared" ca="1" si="19"/>
        <v>1795</v>
      </c>
      <c r="G55" s="1" t="str">
        <f>Дума_партии[[#This Row],[Местоположение]]</f>
        <v>Калининец</v>
      </c>
      <c r="H55">
        <v>1576</v>
      </c>
      <c r="I55" s="10">
        <f>Мособлдума_партии[[#This Row],[Число избирателей, внесенных в список на момент окончания голосования]]</f>
        <v>1576</v>
      </c>
      <c r="J55">
        <v>1500</v>
      </c>
      <c r="K55" s="1"/>
      <c r="L55">
        <v>465</v>
      </c>
      <c r="M55">
        <v>9</v>
      </c>
      <c r="N55" s="3">
        <f t="shared" si="20"/>
        <v>30.076142131979694</v>
      </c>
      <c r="O55" s="3">
        <f t="shared" si="21"/>
        <v>0.57106598984771573</v>
      </c>
      <c r="P55">
        <v>1026</v>
      </c>
      <c r="Q55">
        <v>9</v>
      </c>
      <c r="R55">
        <v>465</v>
      </c>
      <c r="S55" s="1">
        <f t="shared" si="22"/>
        <v>474</v>
      </c>
      <c r="T55" s="3">
        <f t="shared" si="23"/>
        <v>1.8987341772151898</v>
      </c>
      <c r="U55">
        <v>23</v>
      </c>
      <c r="V55" s="3">
        <f t="shared" si="24"/>
        <v>4.852320675105485</v>
      </c>
      <c r="W55">
        <v>451</v>
      </c>
      <c r="X55">
        <v>0</v>
      </c>
      <c r="Y55">
        <v>0</v>
      </c>
      <c r="Z55">
        <v>7</v>
      </c>
      <c r="AA55" s="3">
        <f t="shared" si="25"/>
        <v>1.4767932489451476</v>
      </c>
      <c r="AB55">
        <v>63</v>
      </c>
      <c r="AC55" s="3">
        <f t="shared" si="26"/>
        <v>13.291139240506329</v>
      </c>
      <c r="AD55">
        <v>39</v>
      </c>
      <c r="AE55" s="3">
        <f t="shared" si="27"/>
        <v>8.2278481012658222</v>
      </c>
      <c r="AF55">
        <v>26</v>
      </c>
      <c r="AG55" s="3">
        <f t="shared" si="28"/>
        <v>5.4852320675105481</v>
      </c>
      <c r="AH55">
        <v>108</v>
      </c>
      <c r="AI55" s="3">
        <f t="shared" si="29"/>
        <v>22.784810126582279</v>
      </c>
      <c r="AJ55">
        <v>154</v>
      </c>
      <c r="AK55" s="3">
        <f t="shared" si="30"/>
        <v>32.489451476793249</v>
      </c>
      <c r="AL55">
        <v>6</v>
      </c>
      <c r="AM55" s="3">
        <f t="shared" si="31"/>
        <v>1.2658227848101267</v>
      </c>
      <c r="AN55">
        <v>10</v>
      </c>
      <c r="AO55" s="3">
        <f t="shared" si="32"/>
        <v>2.109704641350211</v>
      </c>
      <c r="AP55">
        <v>7</v>
      </c>
      <c r="AQ55" s="3">
        <f t="shared" si="33"/>
        <v>1.4767932489451476</v>
      </c>
      <c r="AR55">
        <v>31</v>
      </c>
      <c r="AS55" s="3">
        <f t="shared" si="34"/>
        <v>6.5400843881856536</v>
      </c>
      <c r="AT55" t="s">
        <v>208</v>
      </c>
      <c r="AV55"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0.99999999999997158</v>
      </c>
      <c r="AW55" s="13">
        <f>2*(Мособлдума_партии[[#This Row],[6. Всероссийская политическая партия "ЕДИНАЯ РОССИЯ"]]-(AA$124/100)*Мособлдума_партии[[#This Row],[Число действительных бюллетеней]])</f>
        <v>1.3199999999999932</v>
      </c>
      <c r="AX55" s="13">
        <f>(Мособлдума_партии[[#This Row],[Вброс]]+Мособлдума_партии[[#This Row],[Перекладывание]])/2</f>
        <v>1.1599999999999824</v>
      </c>
      <c r="AY55" s="13" t="str">
        <f>Дума_партии[[#This Row],[Зона ответственности в сен. 2022 г.]]</f>
        <v>Одинцово КПРФ</v>
      </c>
    </row>
    <row r="56" spans="2:51" x14ac:dyDescent="0.4">
      <c r="B56" t="s">
        <v>74</v>
      </c>
      <c r="C56" t="s">
        <v>207</v>
      </c>
      <c r="D56" t="s">
        <v>102</v>
      </c>
      <c r="E56" t="s">
        <v>157</v>
      </c>
      <c r="F56" s="10">
        <f t="shared" ca="1" si="19"/>
        <v>1796</v>
      </c>
      <c r="G56" s="1" t="str">
        <f>Дума_партии[[#This Row],[Местоположение]]</f>
        <v>Калининец</v>
      </c>
      <c r="H56">
        <v>1615</v>
      </c>
      <c r="I56" s="10">
        <f>Мособлдума_партии[[#This Row],[Число избирателей, внесенных в список на момент окончания голосования]]</f>
        <v>1615</v>
      </c>
      <c r="J56">
        <v>1600</v>
      </c>
      <c r="K56" s="1"/>
      <c r="L56">
        <v>547</v>
      </c>
      <c r="M56">
        <v>13</v>
      </c>
      <c r="N56" s="3">
        <f t="shared" si="20"/>
        <v>34.674922600619198</v>
      </c>
      <c r="O56" s="3">
        <f t="shared" si="21"/>
        <v>0.804953560371517</v>
      </c>
      <c r="P56">
        <v>1040</v>
      </c>
      <c r="Q56">
        <v>13</v>
      </c>
      <c r="R56">
        <v>543</v>
      </c>
      <c r="S56" s="1">
        <f t="shared" si="22"/>
        <v>556</v>
      </c>
      <c r="T56" s="3">
        <f t="shared" si="23"/>
        <v>2.3381294964028778</v>
      </c>
      <c r="U56">
        <v>33</v>
      </c>
      <c r="V56" s="3">
        <f t="shared" si="24"/>
        <v>5.9352517985611515</v>
      </c>
      <c r="W56">
        <v>523</v>
      </c>
      <c r="X56">
        <v>0</v>
      </c>
      <c r="Y56">
        <v>0</v>
      </c>
      <c r="Z56">
        <v>6</v>
      </c>
      <c r="AA56" s="3">
        <f t="shared" si="25"/>
        <v>1.079136690647482</v>
      </c>
      <c r="AB56">
        <v>75</v>
      </c>
      <c r="AC56" s="3">
        <f t="shared" si="26"/>
        <v>13.489208633093526</v>
      </c>
      <c r="AD56">
        <v>31</v>
      </c>
      <c r="AE56" s="3">
        <f t="shared" si="27"/>
        <v>5.5755395683453237</v>
      </c>
      <c r="AF56">
        <v>36</v>
      </c>
      <c r="AG56" s="3">
        <f t="shared" si="28"/>
        <v>6.4748201438848918</v>
      </c>
      <c r="AH56">
        <v>118</v>
      </c>
      <c r="AI56" s="3">
        <f t="shared" si="29"/>
        <v>21.223021582733814</v>
      </c>
      <c r="AJ56">
        <v>180</v>
      </c>
      <c r="AK56" s="3">
        <f t="shared" si="30"/>
        <v>32.374100719424462</v>
      </c>
      <c r="AL56">
        <v>9</v>
      </c>
      <c r="AM56" s="3">
        <f t="shared" si="31"/>
        <v>1.6187050359712229</v>
      </c>
      <c r="AN56">
        <v>13</v>
      </c>
      <c r="AO56" s="3">
        <f t="shared" si="32"/>
        <v>2.3381294964028778</v>
      </c>
      <c r="AP56">
        <v>13</v>
      </c>
      <c r="AQ56" s="3">
        <f t="shared" si="33"/>
        <v>2.3381294964028778</v>
      </c>
      <c r="AR56">
        <v>42</v>
      </c>
      <c r="AS56" s="3">
        <f t="shared" si="34"/>
        <v>7.5539568345323742</v>
      </c>
      <c r="AT56" t="s">
        <v>208</v>
      </c>
      <c r="AV56"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3.3030303030302832</v>
      </c>
      <c r="AW56" s="13">
        <f>2*(Мособлдума_партии[[#This Row],[6. Всероссийская политическая партия "ЕДИНАЯ РОССИЯ"]]-(AA$124/100)*Мособлдума_партии[[#This Row],[Число действительных бюллетеней]])</f>
        <v>4.3599999999999568</v>
      </c>
      <c r="AX56" s="13">
        <f>(Мособлдума_партии[[#This Row],[Вброс]]+Мособлдума_партии[[#This Row],[Перекладывание]])/2</f>
        <v>3.83151515151512</v>
      </c>
      <c r="AY56" s="13" t="str">
        <f>Дума_партии[[#This Row],[Зона ответственности в сен. 2022 г.]]</f>
        <v>Одинцово КПРФ</v>
      </c>
    </row>
    <row r="57" spans="2:51" x14ac:dyDescent="0.4">
      <c r="B57" t="s">
        <v>74</v>
      </c>
      <c r="C57" t="s">
        <v>207</v>
      </c>
      <c r="D57" t="s">
        <v>102</v>
      </c>
      <c r="E57" t="s">
        <v>158</v>
      </c>
      <c r="F57" s="10">
        <f t="shared" ca="1" si="19"/>
        <v>1797</v>
      </c>
      <c r="G57" s="1" t="str">
        <f>Дума_партии[[#This Row],[Местоположение]]</f>
        <v>Калининец</v>
      </c>
      <c r="H57">
        <v>1116</v>
      </c>
      <c r="I57" s="10">
        <f>Мособлдума_партии[[#This Row],[Число избирателей, внесенных в список на момент окончания голосования]]</f>
        <v>1116</v>
      </c>
      <c r="J57">
        <v>1100</v>
      </c>
      <c r="K57" s="1"/>
      <c r="L57">
        <v>460</v>
      </c>
      <c r="M57">
        <v>7</v>
      </c>
      <c r="N57" s="3">
        <f t="shared" si="20"/>
        <v>41.845878136200717</v>
      </c>
      <c r="O57" s="3">
        <f t="shared" si="21"/>
        <v>0.62724014336917566</v>
      </c>
      <c r="P57">
        <v>633</v>
      </c>
      <c r="Q57">
        <v>7</v>
      </c>
      <c r="R57">
        <v>460</v>
      </c>
      <c r="S57" s="1">
        <f t="shared" si="22"/>
        <v>467</v>
      </c>
      <c r="T57" s="3">
        <f t="shared" si="23"/>
        <v>1.4989293361884368</v>
      </c>
      <c r="U57">
        <v>19</v>
      </c>
      <c r="V57" s="3">
        <f t="shared" si="24"/>
        <v>4.0685224839400425</v>
      </c>
      <c r="W57">
        <v>448</v>
      </c>
      <c r="X57">
        <v>0</v>
      </c>
      <c r="Y57">
        <v>0</v>
      </c>
      <c r="Z57">
        <v>7</v>
      </c>
      <c r="AA57" s="3">
        <f t="shared" si="25"/>
        <v>1.4989293361884368</v>
      </c>
      <c r="AB57">
        <v>69</v>
      </c>
      <c r="AC57" s="3">
        <f t="shared" si="26"/>
        <v>14.775160599571734</v>
      </c>
      <c r="AD57">
        <v>31</v>
      </c>
      <c r="AE57" s="3">
        <f t="shared" si="27"/>
        <v>6.6381156316916492</v>
      </c>
      <c r="AF57">
        <v>37</v>
      </c>
      <c r="AG57" s="3">
        <f t="shared" si="28"/>
        <v>7.9229122055674521</v>
      </c>
      <c r="AH57">
        <v>96</v>
      </c>
      <c r="AI57" s="3">
        <f t="shared" si="29"/>
        <v>20.556745182012847</v>
      </c>
      <c r="AJ57">
        <v>140</v>
      </c>
      <c r="AK57" s="3">
        <f t="shared" si="30"/>
        <v>29.978586723768736</v>
      </c>
      <c r="AL57">
        <v>11</v>
      </c>
      <c r="AM57" s="3">
        <f t="shared" si="31"/>
        <v>2.3554603854389722</v>
      </c>
      <c r="AN57">
        <v>15</v>
      </c>
      <c r="AO57" s="3">
        <f t="shared" si="32"/>
        <v>3.2119914346895073</v>
      </c>
      <c r="AP57">
        <v>9</v>
      </c>
      <c r="AQ57" s="3">
        <f t="shared" si="33"/>
        <v>1.9271948608137044</v>
      </c>
      <c r="AR57">
        <v>33</v>
      </c>
      <c r="AS57" s="3">
        <f t="shared" si="34"/>
        <v>7.0663811563169165</v>
      </c>
      <c r="AT57" t="s">
        <v>208</v>
      </c>
      <c r="AV57"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-18.666666666666686</v>
      </c>
      <c r="AW57" s="13">
        <f>2*(Мособлдума_партии[[#This Row],[6. Всероссийская политическая партия "ЕДИНАЯ РОССИЯ"]]-(AA$124/100)*Мособлдума_партии[[#This Row],[Число действительных бюллетеней]])</f>
        <v>-24.640000000000043</v>
      </c>
      <c r="AX57" s="13">
        <f>(Мособлдума_партии[[#This Row],[Вброс]]+Мособлдума_партии[[#This Row],[Перекладывание]])/2</f>
        <v>-21.653333333333364</v>
      </c>
      <c r="AY57" s="13" t="str">
        <f>Дума_партии[[#This Row],[Зона ответственности в сен. 2022 г.]]</f>
        <v>Одинцово КПРФ</v>
      </c>
    </row>
    <row r="58" spans="2:51" x14ac:dyDescent="0.4">
      <c r="B58" t="s">
        <v>74</v>
      </c>
      <c r="C58" t="s">
        <v>207</v>
      </c>
      <c r="D58" t="s">
        <v>102</v>
      </c>
      <c r="E58" t="s">
        <v>159</v>
      </c>
      <c r="F58" s="10">
        <f t="shared" ca="1" si="19"/>
        <v>1798</v>
      </c>
      <c r="G58" s="1" t="str">
        <f>Дума_партии[[#This Row],[Местоположение]]</f>
        <v>Калининец</v>
      </c>
      <c r="H58">
        <v>1941</v>
      </c>
      <c r="I58" s="10">
        <f>Мособлдума_партии[[#This Row],[Число избирателей, внесенных в список на момент окончания голосования]]</f>
        <v>1941</v>
      </c>
      <c r="J58">
        <v>1800</v>
      </c>
      <c r="K58" s="1"/>
      <c r="L58">
        <v>1075</v>
      </c>
      <c r="M58">
        <v>3</v>
      </c>
      <c r="N58" s="3">
        <f t="shared" si="20"/>
        <v>55.538382277176716</v>
      </c>
      <c r="O58" s="3">
        <f t="shared" si="21"/>
        <v>0.15455950540958269</v>
      </c>
      <c r="P58">
        <v>722</v>
      </c>
      <c r="Q58">
        <v>3</v>
      </c>
      <c r="R58">
        <v>1075</v>
      </c>
      <c r="S58" s="1">
        <f t="shared" si="22"/>
        <v>1078</v>
      </c>
      <c r="T58" s="3">
        <f t="shared" si="23"/>
        <v>0.2782931354359926</v>
      </c>
      <c r="U58">
        <v>21</v>
      </c>
      <c r="V58" s="3">
        <f t="shared" si="24"/>
        <v>1.948051948051948</v>
      </c>
      <c r="W58">
        <v>1057</v>
      </c>
      <c r="X58">
        <v>0</v>
      </c>
      <c r="Y58">
        <v>0</v>
      </c>
      <c r="Z58">
        <v>18</v>
      </c>
      <c r="AA58" s="3">
        <f t="shared" si="25"/>
        <v>1.6697588126159555</v>
      </c>
      <c r="AB58">
        <v>160</v>
      </c>
      <c r="AC58" s="3">
        <f t="shared" si="26"/>
        <v>14.84230055658627</v>
      </c>
      <c r="AD58">
        <v>50</v>
      </c>
      <c r="AE58" s="3">
        <f t="shared" si="27"/>
        <v>4.6382189239332092</v>
      </c>
      <c r="AF58">
        <v>37</v>
      </c>
      <c r="AG58" s="3">
        <f t="shared" si="28"/>
        <v>3.4322820037105752</v>
      </c>
      <c r="AH58">
        <v>108</v>
      </c>
      <c r="AI58" s="3">
        <f t="shared" si="29"/>
        <v>10.018552875695732</v>
      </c>
      <c r="AJ58">
        <v>579</v>
      </c>
      <c r="AK58" s="3">
        <f t="shared" si="30"/>
        <v>53.71057513914657</v>
      </c>
      <c r="AL58">
        <v>16</v>
      </c>
      <c r="AM58" s="3">
        <f t="shared" si="31"/>
        <v>1.484230055658627</v>
      </c>
      <c r="AN58">
        <v>36</v>
      </c>
      <c r="AO58" s="3">
        <f t="shared" si="32"/>
        <v>3.339517625231911</v>
      </c>
      <c r="AP58">
        <v>15</v>
      </c>
      <c r="AQ58" s="3">
        <f t="shared" si="33"/>
        <v>1.3914656771799629</v>
      </c>
      <c r="AR58">
        <v>38</v>
      </c>
      <c r="AS58" s="3">
        <f t="shared" si="34"/>
        <v>3.5250463821892395</v>
      </c>
      <c r="AT58" t="s">
        <v>208</v>
      </c>
      <c r="AV58"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332.75757575757575</v>
      </c>
      <c r="AW58" s="13">
        <f>2*(Мособлдума_партии[[#This Row],[6. Всероссийская политическая партия "ЕДИНАЯ РОССИЯ"]]-(AA$124/100)*Мособлдума_партии[[#This Row],[Число действительных бюллетеней]])</f>
        <v>439.2399999999999</v>
      </c>
      <c r="AX58" s="13">
        <f>(Мособлдума_партии[[#This Row],[Вброс]]+Мособлдума_партии[[#This Row],[Перекладывание]])/2</f>
        <v>385.99878787878782</v>
      </c>
      <c r="AY58" s="13" t="str">
        <f>Дума_партии[[#This Row],[Зона ответственности в сен. 2022 г.]]</f>
        <v>Одинцово КПРФ</v>
      </c>
    </row>
    <row r="59" spans="2:51" x14ac:dyDescent="0.4">
      <c r="B59" t="s">
        <v>74</v>
      </c>
      <c r="C59" t="s">
        <v>207</v>
      </c>
      <c r="D59" t="s">
        <v>102</v>
      </c>
      <c r="E59" t="s">
        <v>160</v>
      </c>
      <c r="F59" s="10">
        <f t="shared" ca="1" si="19"/>
        <v>1799</v>
      </c>
      <c r="G59" s="1" t="str">
        <f>Дума_партии[[#This Row],[Местоположение]]</f>
        <v>Калининец</v>
      </c>
      <c r="H59">
        <v>1977</v>
      </c>
      <c r="I59" s="10">
        <f>Мособлдума_партии[[#This Row],[Число избирателей, внесенных в список на момент окончания голосования]]</f>
        <v>1977</v>
      </c>
      <c r="J59">
        <v>1900</v>
      </c>
      <c r="K59" s="1"/>
      <c r="L59">
        <v>1238</v>
      </c>
      <c r="M59">
        <v>9</v>
      </c>
      <c r="N59" s="3">
        <f t="shared" si="20"/>
        <v>63.075366717248357</v>
      </c>
      <c r="O59" s="3">
        <f t="shared" si="21"/>
        <v>0.45523520485584218</v>
      </c>
      <c r="P59">
        <v>653</v>
      </c>
      <c r="Q59">
        <v>9</v>
      </c>
      <c r="R59">
        <v>1238</v>
      </c>
      <c r="S59" s="1">
        <f t="shared" si="22"/>
        <v>1247</v>
      </c>
      <c r="T59" s="3">
        <f t="shared" si="23"/>
        <v>0.72173215717722539</v>
      </c>
      <c r="U59">
        <v>28</v>
      </c>
      <c r="V59" s="3">
        <f t="shared" si="24"/>
        <v>2.2453889334402568</v>
      </c>
      <c r="W59">
        <v>1219</v>
      </c>
      <c r="X59">
        <v>0</v>
      </c>
      <c r="Y59">
        <v>0</v>
      </c>
      <c r="Z59">
        <v>19</v>
      </c>
      <c r="AA59" s="3">
        <f t="shared" si="25"/>
        <v>1.5236567762630313</v>
      </c>
      <c r="AB59">
        <v>181</v>
      </c>
      <c r="AC59" s="3">
        <f t="shared" si="26"/>
        <v>14.514835605453088</v>
      </c>
      <c r="AD59">
        <v>76</v>
      </c>
      <c r="AE59" s="3">
        <f t="shared" si="27"/>
        <v>6.0946271050521252</v>
      </c>
      <c r="AF59">
        <v>39</v>
      </c>
      <c r="AG59" s="3">
        <f t="shared" si="28"/>
        <v>3.1275060144346432</v>
      </c>
      <c r="AH59">
        <v>185</v>
      </c>
      <c r="AI59" s="3">
        <f t="shared" si="29"/>
        <v>14.83560545308741</v>
      </c>
      <c r="AJ59">
        <v>554</v>
      </c>
      <c r="AK59" s="3">
        <f t="shared" si="30"/>
        <v>44.42662389735365</v>
      </c>
      <c r="AL59">
        <v>20</v>
      </c>
      <c r="AM59" s="3">
        <f t="shared" si="31"/>
        <v>1.6038492381716118</v>
      </c>
      <c r="AN59">
        <v>65</v>
      </c>
      <c r="AO59" s="3">
        <f t="shared" si="32"/>
        <v>5.2125100240577389</v>
      </c>
      <c r="AP59">
        <v>22</v>
      </c>
      <c r="AQ59" s="3">
        <f t="shared" si="33"/>
        <v>1.7642341619887731</v>
      </c>
      <c r="AR59">
        <v>58</v>
      </c>
      <c r="AS59" s="3">
        <f t="shared" si="34"/>
        <v>4.6511627906976747</v>
      </c>
      <c r="AT59" t="s">
        <v>208</v>
      </c>
      <c r="AV59"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211.42424242424238</v>
      </c>
      <c r="AW59" s="13">
        <f>2*(Мособлдума_партии[[#This Row],[6. Всероссийская политическая партия "ЕДИНАЯ РОССИЯ"]]-(AA$124/100)*Мособлдума_партии[[#This Row],[Число действительных бюллетеней]])</f>
        <v>279.07999999999993</v>
      </c>
      <c r="AX59" s="13">
        <f>(Мособлдума_партии[[#This Row],[Вброс]]+Мособлдума_партии[[#This Row],[Перекладывание]])/2</f>
        <v>245.25212121212115</v>
      </c>
      <c r="AY59" s="13" t="str">
        <f>Дума_партии[[#This Row],[Зона ответственности в сен. 2022 г.]]</f>
        <v>Одинцово КПРФ</v>
      </c>
    </row>
    <row r="60" spans="2:51" x14ac:dyDescent="0.4">
      <c r="B60" t="s">
        <v>74</v>
      </c>
      <c r="C60" t="s">
        <v>207</v>
      </c>
      <c r="D60" t="s">
        <v>102</v>
      </c>
      <c r="E60" t="s">
        <v>161</v>
      </c>
      <c r="F60" s="10">
        <f t="shared" ca="1" si="19"/>
        <v>1800</v>
      </c>
      <c r="G60" s="1" t="str">
        <f>Дума_партии[[#This Row],[Местоположение]]</f>
        <v>Калининец</v>
      </c>
      <c r="H60">
        <v>1599</v>
      </c>
      <c r="I60" s="10">
        <f>Мособлдума_партии[[#This Row],[Число избирателей, внесенных в список на момент окончания голосования]]</f>
        <v>1599</v>
      </c>
      <c r="J60">
        <v>2200</v>
      </c>
      <c r="K60" s="1"/>
      <c r="L60">
        <v>1265</v>
      </c>
      <c r="M60">
        <v>10</v>
      </c>
      <c r="N60" s="3">
        <f t="shared" si="20"/>
        <v>79.737335834896811</v>
      </c>
      <c r="O60" s="3">
        <f t="shared" si="21"/>
        <v>0.62539086929330834</v>
      </c>
      <c r="P60">
        <v>925</v>
      </c>
      <c r="Q60">
        <v>10</v>
      </c>
      <c r="R60">
        <v>1265</v>
      </c>
      <c r="S60" s="1">
        <f t="shared" si="22"/>
        <v>1275</v>
      </c>
      <c r="T60" s="3">
        <f t="shared" si="23"/>
        <v>0.78431372549019607</v>
      </c>
      <c r="U60">
        <v>70</v>
      </c>
      <c r="V60" s="3">
        <f t="shared" si="24"/>
        <v>5.4901960784313726</v>
      </c>
      <c r="W60">
        <v>1205</v>
      </c>
      <c r="X60">
        <v>0</v>
      </c>
      <c r="Y60">
        <v>0</v>
      </c>
      <c r="Z60">
        <v>23</v>
      </c>
      <c r="AA60" s="3">
        <f t="shared" si="25"/>
        <v>1.803921568627451</v>
      </c>
      <c r="AB60">
        <v>130</v>
      </c>
      <c r="AC60" s="3">
        <f t="shared" si="26"/>
        <v>10.196078431372548</v>
      </c>
      <c r="AD60">
        <v>57</v>
      </c>
      <c r="AE60" s="3">
        <f t="shared" si="27"/>
        <v>4.4705882352941178</v>
      </c>
      <c r="AF60">
        <v>52</v>
      </c>
      <c r="AG60" s="3">
        <f t="shared" si="28"/>
        <v>4.0784313725490193</v>
      </c>
      <c r="AH60">
        <v>169</v>
      </c>
      <c r="AI60" s="3">
        <f t="shared" si="29"/>
        <v>13.254901960784315</v>
      </c>
      <c r="AJ60">
        <v>645</v>
      </c>
      <c r="AK60" s="3">
        <f t="shared" si="30"/>
        <v>50.588235294117645</v>
      </c>
      <c r="AL60">
        <v>26</v>
      </c>
      <c r="AM60" s="3">
        <f t="shared" si="31"/>
        <v>2.0392156862745097</v>
      </c>
      <c r="AN60">
        <v>29</v>
      </c>
      <c r="AO60" s="3">
        <f t="shared" si="32"/>
        <v>2.2745098039215685</v>
      </c>
      <c r="AP60">
        <v>25</v>
      </c>
      <c r="AQ60" s="3">
        <f t="shared" si="33"/>
        <v>1.9607843137254901</v>
      </c>
      <c r="AR60">
        <v>49</v>
      </c>
      <c r="AS60" s="3">
        <f t="shared" si="34"/>
        <v>3.8431372549019609</v>
      </c>
      <c r="AT60" t="s">
        <v>208</v>
      </c>
      <c r="AV60"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356.51515151515144</v>
      </c>
      <c r="AW60" s="13">
        <f>2*(Мособлдума_партии[[#This Row],[6. Всероссийская политическая партия "ЕДИНАЯ РОССИЯ"]]-(AA$124/100)*Мособлдума_партии[[#This Row],[Число действительных бюллетеней]])</f>
        <v>470.59999999999991</v>
      </c>
      <c r="AX60" s="13">
        <f>(Мособлдума_партии[[#This Row],[Вброс]]+Мособлдума_партии[[#This Row],[Перекладывание]])/2</f>
        <v>413.55757575757571</v>
      </c>
      <c r="AY60" s="13" t="str">
        <f>Дума_партии[[#This Row],[Зона ответственности в сен. 2022 г.]]</f>
        <v>Одинцово КПРФ</v>
      </c>
    </row>
    <row r="61" spans="2:51" x14ac:dyDescent="0.4">
      <c r="B61" t="s">
        <v>74</v>
      </c>
      <c r="C61" t="s">
        <v>207</v>
      </c>
      <c r="D61" t="s">
        <v>102</v>
      </c>
      <c r="E61" t="s">
        <v>162</v>
      </c>
      <c r="F61" s="10">
        <f t="shared" ca="1" si="19"/>
        <v>1801</v>
      </c>
      <c r="G61" s="1" t="str">
        <f>Дума_партии[[#This Row],[Местоположение]]</f>
        <v>Петровское</v>
      </c>
      <c r="H61">
        <v>1295</v>
      </c>
      <c r="I61" s="10">
        <f>Мособлдума_партии[[#This Row],[Число избирателей, внесенных в список на момент окончания голосования]]</f>
        <v>1295</v>
      </c>
      <c r="J61">
        <v>1200</v>
      </c>
      <c r="K61" s="1"/>
      <c r="L61">
        <v>297</v>
      </c>
      <c r="M61">
        <v>21</v>
      </c>
      <c r="N61" s="3">
        <f t="shared" si="20"/>
        <v>24.555984555984555</v>
      </c>
      <c r="O61" s="3">
        <f t="shared" si="21"/>
        <v>1.6216216216216217</v>
      </c>
      <c r="P61">
        <v>882</v>
      </c>
      <c r="Q61">
        <v>21</v>
      </c>
      <c r="R61">
        <v>297</v>
      </c>
      <c r="S61" s="1">
        <f t="shared" si="22"/>
        <v>318</v>
      </c>
      <c r="T61" s="3">
        <f t="shared" si="23"/>
        <v>6.6037735849056602</v>
      </c>
      <c r="U61">
        <v>11</v>
      </c>
      <c r="V61" s="3">
        <f t="shared" si="24"/>
        <v>3.459119496855346</v>
      </c>
      <c r="W61">
        <v>307</v>
      </c>
      <c r="X61">
        <v>0</v>
      </c>
      <c r="Y61">
        <v>0</v>
      </c>
      <c r="Z61">
        <v>5</v>
      </c>
      <c r="AA61" s="3">
        <f t="shared" si="25"/>
        <v>1.5723270440251573</v>
      </c>
      <c r="AB61">
        <v>25</v>
      </c>
      <c r="AC61" s="3">
        <f t="shared" si="26"/>
        <v>7.8616352201257858</v>
      </c>
      <c r="AD61">
        <v>15</v>
      </c>
      <c r="AE61" s="3">
        <f t="shared" si="27"/>
        <v>4.716981132075472</v>
      </c>
      <c r="AF61">
        <v>17</v>
      </c>
      <c r="AG61" s="3">
        <f t="shared" si="28"/>
        <v>5.3459119496855347</v>
      </c>
      <c r="AH61">
        <v>85</v>
      </c>
      <c r="AI61" s="3">
        <f t="shared" si="29"/>
        <v>26.729559748427672</v>
      </c>
      <c r="AJ61">
        <v>95</v>
      </c>
      <c r="AK61" s="3">
        <f t="shared" si="30"/>
        <v>29.874213836477988</v>
      </c>
      <c r="AL61">
        <v>7</v>
      </c>
      <c r="AM61" s="3">
        <f t="shared" si="31"/>
        <v>2.2012578616352201</v>
      </c>
      <c r="AN61">
        <v>15</v>
      </c>
      <c r="AO61" s="3">
        <f t="shared" si="32"/>
        <v>4.716981132075472</v>
      </c>
      <c r="AP61">
        <v>8</v>
      </c>
      <c r="AQ61" s="3">
        <f t="shared" si="33"/>
        <v>2.5157232704402515</v>
      </c>
      <c r="AR61">
        <v>35</v>
      </c>
      <c r="AS61" s="3">
        <f t="shared" si="34"/>
        <v>11.0062893081761</v>
      </c>
      <c r="AT61" t="s">
        <v>208</v>
      </c>
      <c r="AV61"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-14.212121212121232</v>
      </c>
      <c r="AW61" s="13">
        <f>2*(Мособлдума_партии[[#This Row],[6. Всероссийская политическая партия "ЕДИНАЯ РОССИЯ"]]-(AA$124/100)*Мособлдума_партии[[#This Row],[Число действительных бюллетеней]])</f>
        <v>-18.760000000000019</v>
      </c>
      <c r="AX61" s="13">
        <f>(Мособлдума_партии[[#This Row],[Вброс]]+Мособлдума_партии[[#This Row],[Перекладывание]])/2</f>
        <v>-16.486060606060626</v>
      </c>
      <c r="AY61" s="13" t="str">
        <f>Дума_партии[[#This Row],[Зона ответственности в сен. 2022 г.]]</f>
        <v>Одинцово КПРФ</v>
      </c>
    </row>
    <row r="62" spans="2:51" x14ac:dyDescent="0.4">
      <c r="B62" t="s">
        <v>74</v>
      </c>
      <c r="C62" t="s">
        <v>207</v>
      </c>
      <c r="D62" t="s">
        <v>102</v>
      </c>
      <c r="E62" t="s">
        <v>163</v>
      </c>
      <c r="F62" s="10">
        <f t="shared" ca="1" si="19"/>
        <v>1802</v>
      </c>
      <c r="G62" s="1" t="str">
        <f>Дума_партии[[#This Row],[Местоположение]]</f>
        <v>Калининец</v>
      </c>
      <c r="H62">
        <v>1127</v>
      </c>
      <c r="I62" s="10">
        <f>Мособлдума_партии[[#This Row],[Число избирателей, внесенных в список на момент окончания голосования]]</f>
        <v>1127</v>
      </c>
      <c r="J62">
        <v>1100</v>
      </c>
      <c r="K62" s="1"/>
      <c r="L62">
        <v>328</v>
      </c>
      <c r="M62">
        <v>64</v>
      </c>
      <c r="N62" s="3">
        <f t="shared" si="20"/>
        <v>34.782608695652172</v>
      </c>
      <c r="O62" s="3">
        <f t="shared" si="21"/>
        <v>5.6787932564330079</v>
      </c>
      <c r="P62">
        <v>708</v>
      </c>
      <c r="Q62">
        <v>64</v>
      </c>
      <c r="R62">
        <v>328</v>
      </c>
      <c r="S62" s="1">
        <f t="shared" si="22"/>
        <v>392</v>
      </c>
      <c r="T62" s="3">
        <f t="shared" si="23"/>
        <v>16.326530612244898</v>
      </c>
      <c r="U62">
        <v>31</v>
      </c>
      <c r="V62" s="3">
        <f t="shared" si="24"/>
        <v>7.908163265306122</v>
      </c>
      <c r="W62">
        <v>361</v>
      </c>
      <c r="X62">
        <v>0</v>
      </c>
      <c r="Y62">
        <v>0</v>
      </c>
      <c r="Z62">
        <v>8</v>
      </c>
      <c r="AA62" s="3">
        <f t="shared" si="25"/>
        <v>2.0408163265306123</v>
      </c>
      <c r="AB62">
        <v>52</v>
      </c>
      <c r="AC62" s="3">
        <f t="shared" si="26"/>
        <v>13.26530612244898</v>
      </c>
      <c r="AD62">
        <v>28</v>
      </c>
      <c r="AE62" s="3">
        <f t="shared" si="27"/>
        <v>7.1428571428571432</v>
      </c>
      <c r="AF62">
        <v>20</v>
      </c>
      <c r="AG62" s="3">
        <f t="shared" si="28"/>
        <v>5.1020408163265305</v>
      </c>
      <c r="AH62">
        <v>100</v>
      </c>
      <c r="AI62" s="3">
        <f t="shared" si="29"/>
        <v>25.510204081632654</v>
      </c>
      <c r="AJ62">
        <v>102</v>
      </c>
      <c r="AK62" s="3">
        <f t="shared" si="30"/>
        <v>26.020408163265305</v>
      </c>
      <c r="AL62">
        <v>10</v>
      </c>
      <c r="AM62" s="3">
        <f t="shared" si="31"/>
        <v>2.5510204081632653</v>
      </c>
      <c r="AN62">
        <v>12</v>
      </c>
      <c r="AO62" s="3">
        <f t="shared" si="32"/>
        <v>3.0612244897959182</v>
      </c>
      <c r="AP62">
        <v>9</v>
      </c>
      <c r="AQ62" s="3">
        <f t="shared" si="33"/>
        <v>2.295918367346939</v>
      </c>
      <c r="AR62">
        <v>20</v>
      </c>
      <c r="AS62" s="3">
        <f t="shared" si="34"/>
        <v>5.1020408163265305</v>
      </c>
      <c r="AT62" t="s">
        <v>208</v>
      </c>
      <c r="AV62"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-31.424242424242436</v>
      </c>
      <c r="AW62" s="13">
        <f>2*(Мособлдума_партии[[#This Row],[6. Всероссийская политическая партия "ЕДИНАЯ РОССИЯ"]]-(AA$124/100)*Мособлдума_партии[[#This Row],[Число действительных бюллетеней]])</f>
        <v>-41.480000000000018</v>
      </c>
      <c r="AX62" s="13">
        <f>(Мособлдума_партии[[#This Row],[Вброс]]+Мособлдума_партии[[#This Row],[Перекладывание]])/2</f>
        <v>-36.452121212121227</v>
      </c>
      <c r="AY62" s="13" t="str">
        <f>Дума_партии[[#This Row],[Зона ответственности в сен. 2022 г.]]</f>
        <v>Одинцово КПРФ</v>
      </c>
    </row>
    <row r="63" spans="2:51" x14ac:dyDescent="0.4">
      <c r="B63" t="s">
        <v>74</v>
      </c>
      <c r="C63" t="s">
        <v>207</v>
      </c>
      <c r="D63" t="s">
        <v>102</v>
      </c>
      <c r="E63" t="s">
        <v>164</v>
      </c>
      <c r="F63" s="10">
        <f t="shared" ca="1" si="19"/>
        <v>1803</v>
      </c>
      <c r="G63" s="1" t="str">
        <f>Дума_партии[[#This Row],[Местоположение]]</f>
        <v>Калининец</v>
      </c>
      <c r="H63">
        <v>647</v>
      </c>
      <c r="I63" s="10">
        <f>Мособлдума_партии[[#This Row],[Число избирателей, внесенных в список на момент окончания голосования]]</f>
        <v>647</v>
      </c>
      <c r="J63">
        <v>1100</v>
      </c>
      <c r="K63" s="1"/>
      <c r="L63">
        <v>643</v>
      </c>
      <c r="M63">
        <v>4</v>
      </c>
      <c r="N63" s="3">
        <f t="shared" si="20"/>
        <v>100</v>
      </c>
      <c r="O63" s="3">
        <f t="shared" si="21"/>
        <v>0.61823802163833075</v>
      </c>
      <c r="P63">
        <v>453</v>
      </c>
      <c r="Q63">
        <v>4</v>
      </c>
      <c r="R63">
        <v>643</v>
      </c>
      <c r="S63" s="1">
        <f t="shared" si="22"/>
        <v>647</v>
      </c>
      <c r="T63" s="3">
        <f t="shared" si="23"/>
        <v>0.61823802163833075</v>
      </c>
      <c r="U63">
        <v>32</v>
      </c>
      <c r="V63" s="3">
        <f t="shared" si="24"/>
        <v>4.945904173106646</v>
      </c>
      <c r="W63">
        <v>615</v>
      </c>
      <c r="X63">
        <v>0</v>
      </c>
      <c r="Y63">
        <v>0</v>
      </c>
      <c r="Z63">
        <v>8</v>
      </c>
      <c r="AA63" s="3">
        <f t="shared" si="25"/>
        <v>1.2364760432766615</v>
      </c>
      <c r="AB63">
        <v>49</v>
      </c>
      <c r="AC63" s="3">
        <f t="shared" si="26"/>
        <v>7.5734157650695515</v>
      </c>
      <c r="AD63">
        <v>24</v>
      </c>
      <c r="AE63" s="3">
        <f t="shared" si="27"/>
        <v>3.7094281298299845</v>
      </c>
      <c r="AF63">
        <v>21</v>
      </c>
      <c r="AG63" s="3">
        <f t="shared" si="28"/>
        <v>3.2457496136012365</v>
      </c>
      <c r="AH63">
        <v>98</v>
      </c>
      <c r="AI63" s="3">
        <f t="shared" si="29"/>
        <v>15.146831530139103</v>
      </c>
      <c r="AJ63">
        <v>373</v>
      </c>
      <c r="AK63" s="3">
        <f t="shared" si="30"/>
        <v>57.650695517774345</v>
      </c>
      <c r="AL63">
        <v>7</v>
      </c>
      <c r="AM63" s="3">
        <f t="shared" si="31"/>
        <v>1.0819165378670788</v>
      </c>
      <c r="AN63">
        <v>14</v>
      </c>
      <c r="AO63" s="3">
        <f t="shared" si="32"/>
        <v>2.1638330757341575</v>
      </c>
      <c r="AP63">
        <v>6</v>
      </c>
      <c r="AQ63" s="3">
        <f t="shared" si="33"/>
        <v>0.92735703245749612</v>
      </c>
      <c r="AR63">
        <v>15</v>
      </c>
      <c r="AS63" s="3">
        <f t="shared" si="34"/>
        <v>2.3183925811437405</v>
      </c>
      <c r="AT63" t="s">
        <v>208</v>
      </c>
      <c r="AV63"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248.33333333333331</v>
      </c>
      <c r="AW63" s="13">
        <f>2*(Мособлдума_партии[[#This Row],[6. Всероссийская политическая партия "ЕДИНАЯ РОССИЯ"]]-(AA$124/100)*Мособлдума_партии[[#This Row],[Число действительных бюллетеней]])</f>
        <v>327.79999999999995</v>
      </c>
      <c r="AX63" s="13">
        <f>(Мособлдума_партии[[#This Row],[Вброс]]+Мособлдума_партии[[#This Row],[Перекладывание]])/2</f>
        <v>288.06666666666661</v>
      </c>
      <c r="AY63" s="13" t="str">
        <f>Дума_партии[[#This Row],[Зона ответственности в сен. 2022 г.]]</f>
        <v>Одинцово КПРФ</v>
      </c>
    </row>
    <row r="64" spans="2:51" x14ac:dyDescent="0.4">
      <c r="B64" t="s">
        <v>74</v>
      </c>
      <c r="C64" t="s">
        <v>207</v>
      </c>
      <c r="D64" t="s">
        <v>102</v>
      </c>
      <c r="E64" t="s">
        <v>165</v>
      </c>
      <c r="F64" s="10">
        <f t="shared" ca="1" si="19"/>
        <v>1804</v>
      </c>
      <c r="G64" s="1" t="str">
        <f>Дума_партии[[#This Row],[Местоположение]]</f>
        <v>Селятино</v>
      </c>
      <c r="H64">
        <v>1408</v>
      </c>
      <c r="I64" s="10">
        <f>Мособлдума_партии[[#This Row],[Число избирателей, внесенных в список на момент окончания голосования]]</f>
        <v>1408</v>
      </c>
      <c r="J64">
        <v>1300</v>
      </c>
      <c r="K64" s="1"/>
      <c r="L64">
        <v>476</v>
      </c>
      <c r="M64">
        <v>14</v>
      </c>
      <c r="N64" s="3">
        <f t="shared" si="20"/>
        <v>34.801136363636367</v>
      </c>
      <c r="O64" s="3">
        <f t="shared" si="21"/>
        <v>0.99431818181818177</v>
      </c>
      <c r="P64">
        <v>810</v>
      </c>
      <c r="Q64">
        <v>14</v>
      </c>
      <c r="R64">
        <v>476</v>
      </c>
      <c r="S64" s="1">
        <f t="shared" si="22"/>
        <v>490</v>
      </c>
      <c r="T64" s="3">
        <f t="shared" si="23"/>
        <v>2.8571428571428572</v>
      </c>
      <c r="U64">
        <v>25</v>
      </c>
      <c r="V64" s="3">
        <f t="shared" si="24"/>
        <v>5.1020408163265305</v>
      </c>
      <c r="W64">
        <v>465</v>
      </c>
      <c r="X64">
        <v>0</v>
      </c>
      <c r="Y64">
        <v>0</v>
      </c>
      <c r="Z64">
        <v>7</v>
      </c>
      <c r="AA64" s="3">
        <f t="shared" si="25"/>
        <v>1.4285714285714286</v>
      </c>
      <c r="AB64">
        <v>38</v>
      </c>
      <c r="AC64" s="3">
        <f t="shared" si="26"/>
        <v>7.7551020408163263</v>
      </c>
      <c r="AD64">
        <v>26</v>
      </c>
      <c r="AE64" s="3">
        <f t="shared" si="27"/>
        <v>5.3061224489795915</v>
      </c>
      <c r="AF64">
        <v>37</v>
      </c>
      <c r="AG64" s="3">
        <f t="shared" si="28"/>
        <v>7.5510204081632653</v>
      </c>
      <c r="AH64">
        <v>144</v>
      </c>
      <c r="AI64" s="3">
        <f t="shared" si="29"/>
        <v>29.387755102040817</v>
      </c>
      <c r="AJ64">
        <v>126</v>
      </c>
      <c r="AK64" s="3">
        <f t="shared" si="30"/>
        <v>25.714285714285715</v>
      </c>
      <c r="AL64">
        <v>11</v>
      </c>
      <c r="AM64" s="3">
        <f t="shared" si="31"/>
        <v>2.2448979591836733</v>
      </c>
      <c r="AN64">
        <v>24</v>
      </c>
      <c r="AO64" s="3">
        <f t="shared" si="32"/>
        <v>4.8979591836734695</v>
      </c>
      <c r="AP64">
        <v>18</v>
      </c>
      <c r="AQ64" s="3">
        <f t="shared" si="33"/>
        <v>3.6734693877551021</v>
      </c>
      <c r="AR64">
        <v>34</v>
      </c>
      <c r="AS64" s="3">
        <f t="shared" si="34"/>
        <v>6.9387755102040813</v>
      </c>
      <c r="AT64" t="s">
        <v>208</v>
      </c>
      <c r="AV64"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-48.636363636363683</v>
      </c>
      <c r="AW64" s="13">
        <f>2*(Мособлдума_партии[[#This Row],[6. Всероссийская политическая партия "ЕДИНАЯ РОССИЯ"]]-(AA$124/100)*Мособлдума_партии[[#This Row],[Число действительных бюллетеней]])</f>
        <v>-64.200000000000045</v>
      </c>
      <c r="AX64" s="13">
        <f>(Мособлдума_партии[[#This Row],[Вброс]]+Мособлдума_партии[[#This Row],[Перекладывание]])/2</f>
        <v>-56.418181818181864</v>
      </c>
      <c r="AY64" s="13" t="str">
        <f>Дума_партии[[#This Row],[Зона ответственности в сен. 2022 г.]]</f>
        <v>Одинцово КПРФ</v>
      </c>
    </row>
    <row r="65" spans="2:51" x14ac:dyDescent="0.4">
      <c r="B65" t="s">
        <v>74</v>
      </c>
      <c r="C65" t="s">
        <v>207</v>
      </c>
      <c r="D65" t="s">
        <v>102</v>
      </c>
      <c r="E65" t="s">
        <v>166</v>
      </c>
      <c r="F65" s="10">
        <f t="shared" ca="1" si="19"/>
        <v>1805</v>
      </c>
      <c r="G65" s="1" t="str">
        <f>Дума_партии[[#This Row],[Местоположение]]</f>
        <v>Селятино</v>
      </c>
      <c r="H65">
        <v>1058</v>
      </c>
      <c r="I65" s="10">
        <f>Мособлдума_партии[[#This Row],[Число избирателей, внесенных в список на момент окончания голосования]]</f>
        <v>1058</v>
      </c>
      <c r="J65">
        <v>1000</v>
      </c>
      <c r="K65" s="1"/>
      <c r="L65">
        <v>375</v>
      </c>
      <c r="M65">
        <v>13</v>
      </c>
      <c r="N65" s="3">
        <f t="shared" si="20"/>
        <v>36.672967863894137</v>
      </c>
      <c r="O65" s="3">
        <f t="shared" si="21"/>
        <v>1.2287334593572778</v>
      </c>
      <c r="P65">
        <v>612</v>
      </c>
      <c r="Q65">
        <v>13</v>
      </c>
      <c r="R65">
        <v>375</v>
      </c>
      <c r="S65" s="1">
        <f t="shared" si="22"/>
        <v>388</v>
      </c>
      <c r="T65" s="3">
        <f t="shared" si="23"/>
        <v>3.3505154639175259</v>
      </c>
      <c r="U65">
        <v>12</v>
      </c>
      <c r="V65" s="3">
        <f t="shared" si="24"/>
        <v>3.0927835051546393</v>
      </c>
      <c r="W65">
        <v>376</v>
      </c>
      <c r="X65">
        <v>0</v>
      </c>
      <c r="Y65">
        <v>0</v>
      </c>
      <c r="Z65">
        <v>9</v>
      </c>
      <c r="AA65" s="3">
        <f t="shared" si="25"/>
        <v>2.3195876288659796</v>
      </c>
      <c r="AB65">
        <v>26</v>
      </c>
      <c r="AC65" s="3">
        <f t="shared" si="26"/>
        <v>6.7010309278350517</v>
      </c>
      <c r="AD65">
        <v>20</v>
      </c>
      <c r="AE65" s="3">
        <f t="shared" si="27"/>
        <v>5.1546391752577323</v>
      </c>
      <c r="AF65">
        <v>19</v>
      </c>
      <c r="AG65" s="3">
        <f t="shared" si="28"/>
        <v>4.8969072164948457</v>
      </c>
      <c r="AH65">
        <v>114</v>
      </c>
      <c r="AI65" s="3">
        <f t="shared" si="29"/>
        <v>29.381443298969071</v>
      </c>
      <c r="AJ65">
        <v>141</v>
      </c>
      <c r="AK65" s="3">
        <f t="shared" si="30"/>
        <v>36.340206185567013</v>
      </c>
      <c r="AL65">
        <v>5</v>
      </c>
      <c r="AM65" s="3">
        <f t="shared" si="31"/>
        <v>1.2886597938144331</v>
      </c>
      <c r="AN65">
        <v>10</v>
      </c>
      <c r="AO65" s="3">
        <f t="shared" si="32"/>
        <v>2.5773195876288661</v>
      </c>
      <c r="AP65">
        <v>10</v>
      </c>
      <c r="AQ65" s="3">
        <f t="shared" si="33"/>
        <v>2.5773195876288661</v>
      </c>
      <c r="AR65">
        <v>22</v>
      </c>
      <c r="AS65" s="3">
        <f t="shared" si="34"/>
        <v>5.6701030927835054</v>
      </c>
      <c r="AT65" t="s">
        <v>208</v>
      </c>
      <c r="AV65"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19.939393939393923</v>
      </c>
      <c r="AW65" s="13">
        <f>2*(Мособлдума_партии[[#This Row],[6. Всероссийская политическая партия "ЕДИНАЯ РОССИЯ"]]-(AA$124/100)*Мособлдума_партии[[#This Row],[Число действительных бюллетеней]])</f>
        <v>26.319999999999993</v>
      </c>
      <c r="AX65" s="13">
        <f>(Мособлдума_партии[[#This Row],[Вброс]]+Мособлдума_партии[[#This Row],[Перекладывание]])/2</f>
        <v>23.129696969696958</v>
      </c>
      <c r="AY65" s="13" t="str">
        <f>Дума_партии[[#This Row],[Зона ответственности в сен. 2022 г.]]</f>
        <v>Одинцово КПРФ</v>
      </c>
    </row>
    <row r="66" spans="2:51" x14ac:dyDescent="0.4">
      <c r="B66" t="s">
        <v>74</v>
      </c>
      <c r="C66" t="s">
        <v>207</v>
      </c>
      <c r="D66" t="s">
        <v>102</v>
      </c>
      <c r="E66" t="s">
        <v>167</v>
      </c>
      <c r="F66" s="10">
        <f t="shared" ca="1" si="19"/>
        <v>1806</v>
      </c>
      <c r="G66" s="1" t="str">
        <f>Дума_партии[[#This Row],[Местоположение]]</f>
        <v>Селятино</v>
      </c>
      <c r="H66">
        <v>1406</v>
      </c>
      <c r="I66" s="10">
        <f>Мособлдума_партии[[#This Row],[Число избирателей, внесенных в список на момент окончания голосования]]</f>
        <v>1406</v>
      </c>
      <c r="J66">
        <v>1400</v>
      </c>
      <c r="K66" s="1"/>
      <c r="L66">
        <v>481</v>
      </c>
      <c r="M66">
        <v>4</v>
      </c>
      <c r="N66" s="3">
        <f t="shared" si="20"/>
        <v>34.495021337126602</v>
      </c>
      <c r="O66" s="3">
        <f t="shared" si="21"/>
        <v>0.28449502133712662</v>
      </c>
      <c r="P66">
        <v>915</v>
      </c>
      <c r="Q66">
        <v>4</v>
      </c>
      <c r="R66">
        <v>481</v>
      </c>
      <c r="S66" s="1">
        <f t="shared" si="22"/>
        <v>485</v>
      </c>
      <c r="T66" s="3">
        <f t="shared" si="23"/>
        <v>0.82474226804123707</v>
      </c>
      <c r="U66">
        <v>18</v>
      </c>
      <c r="V66" s="3">
        <f t="shared" si="24"/>
        <v>3.7113402061855671</v>
      </c>
      <c r="W66">
        <v>467</v>
      </c>
      <c r="X66">
        <v>0</v>
      </c>
      <c r="Y66">
        <v>0</v>
      </c>
      <c r="Z66">
        <v>8</v>
      </c>
      <c r="AA66" s="3">
        <f t="shared" si="25"/>
        <v>1.6494845360824741</v>
      </c>
      <c r="AB66">
        <v>48</v>
      </c>
      <c r="AC66" s="3">
        <f t="shared" si="26"/>
        <v>9.8969072164948457</v>
      </c>
      <c r="AD66">
        <v>25</v>
      </c>
      <c r="AE66" s="3">
        <f t="shared" si="27"/>
        <v>5.1546391752577323</v>
      </c>
      <c r="AF66">
        <v>27</v>
      </c>
      <c r="AG66" s="3">
        <f t="shared" si="28"/>
        <v>5.5670103092783503</v>
      </c>
      <c r="AH66">
        <v>144</v>
      </c>
      <c r="AI66" s="3">
        <f t="shared" si="29"/>
        <v>29.690721649484537</v>
      </c>
      <c r="AJ66">
        <v>153</v>
      </c>
      <c r="AK66" s="3">
        <f t="shared" si="30"/>
        <v>31.546391752577321</v>
      </c>
      <c r="AL66">
        <v>13</v>
      </c>
      <c r="AM66" s="3">
        <f t="shared" si="31"/>
        <v>2.6804123711340204</v>
      </c>
      <c r="AN66">
        <v>24</v>
      </c>
      <c r="AO66" s="3">
        <f t="shared" si="32"/>
        <v>4.9484536082474229</v>
      </c>
      <c r="AP66">
        <v>5</v>
      </c>
      <c r="AQ66" s="3">
        <f t="shared" si="33"/>
        <v>1.0309278350515463</v>
      </c>
      <c r="AR66">
        <v>20</v>
      </c>
      <c r="AS66" s="3">
        <f t="shared" si="34"/>
        <v>4.1237113402061851</v>
      </c>
      <c r="AT66" t="s">
        <v>208</v>
      </c>
      <c r="AV66"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-8.7575757575757791</v>
      </c>
      <c r="AW66" s="13">
        <f>2*(Мособлдума_партии[[#This Row],[6. Всероссийская политическая партия "ЕДИНАЯ РОССИЯ"]]-(AA$124/100)*Мособлдума_партии[[#This Row],[Число действительных бюллетеней]])</f>
        <v>-11.560000000000002</v>
      </c>
      <c r="AX66" s="13">
        <f>(Мособлдума_партии[[#This Row],[Вброс]]+Мособлдума_партии[[#This Row],[Перекладывание]])/2</f>
        <v>-10.158787878787891</v>
      </c>
      <c r="AY66" s="13" t="str">
        <f>Дума_партии[[#This Row],[Зона ответственности в сен. 2022 г.]]</f>
        <v>Одинцово КПРФ</v>
      </c>
    </row>
    <row r="67" spans="2:51" x14ac:dyDescent="0.4">
      <c r="B67" t="s">
        <v>74</v>
      </c>
      <c r="C67" t="s">
        <v>207</v>
      </c>
      <c r="D67" t="s">
        <v>102</v>
      </c>
      <c r="E67" t="s">
        <v>168</v>
      </c>
      <c r="F67" s="10">
        <f t="shared" ca="1" si="19"/>
        <v>1807</v>
      </c>
      <c r="G67" s="1" t="str">
        <f>Дума_партии[[#This Row],[Местоположение]]</f>
        <v>Селятино</v>
      </c>
      <c r="H67">
        <v>1087</v>
      </c>
      <c r="I67" s="10">
        <f>Мособлдума_партии[[#This Row],[Число избирателей, внесенных в список на момент окончания голосования]]</f>
        <v>1087</v>
      </c>
      <c r="J67">
        <v>1000</v>
      </c>
      <c r="K67" s="1"/>
      <c r="L67">
        <v>432</v>
      </c>
      <c r="M67">
        <v>4</v>
      </c>
      <c r="N67" s="3">
        <f t="shared" si="20"/>
        <v>40.110395584176636</v>
      </c>
      <c r="O67" s="3">
        <f t="shared" si="21"/>
        <v>0.36798528058877644</v>
      </c>
      <c r="P67">
        <v>564</v>
      </c>
      <c r="Q67">
        <v>4</v>
      </c>
      <c r="R67">
        <v>432</v>
      </c>
      <c r="S67" s="1">
        <f t="shared" si="22"/>
        <v>436</v>
      </c>
      <c r="T67" s="3">
        <f t="shared" si="23"/>
        <v>0.91743119266055051</v>
      </c>
      <c r="U67">
        <v>16</v>
      </c>
      <c r="V67" s="3">
        <f t="shared" si="24"/>
        <v>3.669724770642202</v>
      </c>
      <c r="W67">
        <v>420</v>
      </c>
      <c r="X67">
        <v>0</v>
      </c>
      <c r="Y67">
        <v>0</v>
      </c>
      <c r="Z67">
        <v>11</v>
      </c>
      <c r="AA67" s="3">
        <f t="shared" si="25"/>
        <v>2.522935779816514</v>
      </c>
      <c r="AB67">
        <v>46</v>
      </c>
      <c r="AC67" s="3">
        <f t="shared" si="26"/>
        <v>10.55045871559633</v>
      </c>
      <c r="AD67">
        <v>27</v>
      </c>
      <c r="AE67" s="3">
        <f t="shared" si="27"/>
        <v>6.192660550458716</v>
      </c>
      <c r="AF67">
        <v>17</v>
      </c>
      <c r="AG67" s="3">
        <f t="shared" si="28"/>
        <v>3.8990825688073394</v>
      </c>
      <c r="AH67">
        <v>104</v>
      </c>
      <c r="AI67" s="3">
        <f t="shared" si="29"/>
        <v>23.853211009174313</v>
      </c>
      <c r="AJ67">
        <v>121</v>
      </c>
      <c r="AK67" s="3">
        <f t="shared" si="30"/>
        <v>27.75229357798165</v>
      </c>
      <c r="AL67">
        <v>18</v>
      </c>
      <c r="AM67" s="3">
        <f t="shared" si="31"/>
        <v>4.1284403669724767</v>
      </c>
      <c r="AN67">
        <v>26</v>
      </c>
      <c r="AO67" s="3">
        <f t="shared" si="32"/>
        <v>5.9633027522935782</v>
      </c>
      <c r="AP67">
        <v>10</v>
      </c>
      <c r="AQ67" s="3">
        <f t="shared" si="33"/>
        <v>2.2935779816513762</v>
      </c>
      <c r="AR67">
        <v>40</v>
      </c>
      <c r="AS67" s="3">
        <f t="shared" si="34"/>
        <v>9.1743119266055047</v>
      </c>
      <c r="AT67" t="s">
        <v>208</v>
      </c>
      <c r="AV67"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-33.03030303030306</v>
      </c>
      <c r="AW67" s="13">
        <f>2*(Мособлдума_партии[[#This Row],[6. Всероссийская политическая партия "ЕДИНАЯ РОССИЯ"]]-(AA$124/100)*Мособлдума_партии[[#This Row],[Число действительных бюллетеней]])</f>
        <v>-43.600000000000023</v>
      </c>
      <c r="AX67" s="13">
        <f>(Мособлдума_партии[[#This Row],[Вброс]]+Мособлдума_партии[[#This Row],[Перекладывание]])/2</f>
        <v>-38.315151515151541</v>
      </c>
      <c r="AY67" s="13" t="str">
        <f>Дума_партии[[#This Row],[Зона ответственности в сен. 2022 г.]]</f>
        <v>Одинцово КПРФ</v>
      </c>
    </row>
    <row r="68" spans="2:51" x14ac:dyDescent="0.4">
      <c r="B68" t="s">
        <v>74</v>
      </c>
      <c r="C68" t="s">
        <v>207</v>
      </c>
      <c r="D68" t="s">
        <v>102</v>
      </c>
      <c r="E68" t="s">
        <v>169</v>
      </c>
      <c r="F68" s="10">
        <f t="shared" ca="1" si="19"/>
        <v>1808</v>
      </c>
      <c r="G68" s="1" t="str">
        <f>Дума_партии[[#This Row],[Местоположение]]</f>
        <v>Селятино</v>
      </c>
      <c r="H68">
        <v>1254</v>
      </c>
      <c r="I68" s="10">
        <f>Мособлдума_партии[[#This Row],[Число избирателей, внесенных в список на момент окончания голосования]]</f>
        <v>1254</v>
      </c>
      <c r="J68">
        <v>1200</v>
      </c>
      <c r="K68" s="1"/>
      <c r="L68">
        <v>457</v>
      </c>
      <c r="M68">
        <v>11</v>
      </c>
      <c r="N68" s="3">
        <f t="shared" si="20"/>
        <v>37.320574162679428</v>
      </c>
      <c r="O68" s="3">
        <f t="shared" si="21"/>
        <v>0.8771929824561403</v>
      </c>
      <c r="P68">
        <v>732</v>
      </c>
      <c r="Q68">
        <v>11</v>
      </c>
      <c r="R68">
        <v>457</v>
      </c>
      <c r="S68" s="1">
        <f t="shared" si="22"/>
        <v>468</v>
      </c>
      <c r="T68" s="3">
        <f t="shared" si="23"/>
        <v>2.3504273504273505</v>
      </c>
      <c r="U68">
        <v>20</v>
      </c>
      <c r="V68" s="3">
        <f t="shared" si="24"/>
        <v>4.2735042735042734</v>
      </c>
      <c r="W68">
        <v>448</v>
      </c>
      <c r="X68">
        <v>0</v>
      </c>
      <c r="Y68">
        <v>0</v>
      </c>
      <c r="Z68">
        <v>7</v>
      </c>
      <c r="AA68" s="3">
        <f t="shared" si="25"/>
        <v>1.4957264957264957</v>
      </c>
      <c r="AB68">
        <v>41</v>
      </c>
      <c r="AC68" s="3">
        <f t="shared" si="26"/>
        <v>8.7606837606837615</v>
      </c>
      <c r="AD68">
        <v>31</v>
      </c>
      <c r="AE68" s="3">
        <f t="shared" si="27"/>
        <v>6.6239316239316235</v>
      </c>
      <c r="AF68">
        <v>25</v>
      </c>
      <c r="AG68" s="3">
        <f t="shared" si="28"/>
        <v>5.3418803418803416</v>
      </c>
      <c r="AH68">
        <v>149</v>
      </c>
      <c r="AI68" s="3">
        <f t="shared" si="29"/>
        <v>31.837606837606838</v>
      </c>
      <c r="AJ68">
        <v>118</v>
      </c>
      <c r="AK68" s="3">
        <f t="shared" si="30"/>
        <v>25.213675213675213</v>
      </c>
      <c r="AL68">
        <v>6</v>
      </c>
      <c r="AM68" s="3">
        <f t="shared" si="31"/>
        <v>1.2820512820512822</v>
      </c>
      <c r="AN68">
        <v>33</v>
      </c>
      <c r="AO68" s="3">
        <f t="shared" si="32"/>
        <v>7.0512820512820511</v>
      </c>
      <c r="AP68">
        <v>6</v>
      </c>
      <c r="AQ68" s="3">
        <f t="shared" si="33"/>
        <v>1.2820512820512822</v>
      </c>
      <c r="AR68">
        <v>32</v>
      </c>
      <c r="AS68" s="3">
        <f t="shared" si="34"/>
        <v>6.8376068376068373</v>
      </c>
      <c r="AT68" t="s">
        <v>208</v>
      </c>
      <c r="AV68"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-52.000000000000028</v>
      </c>
      <c r="AW68" s="13">
        <f>2*(Мособлдума_партии[[#This Row],[6. Всероссийская политическая партия "ЕДИНАЯ РОССИЯ"]]-(AA$124/100)*Мособлдума_партии[[#This Row],[Число действительных бюллетеней]])</f>
        <v>-68.640000000000043</v>
      </c>
      <c r="AX68" s="13">
        <f>(Мособлдума_партии[[#This Row],[Вброс]]+Мособлдума_партии[[#This Row],[Перекладывание]])/2</f>
        <v>-60.320000000000036</v>
      </c>
      <c r="AY68" s="13" t="str">
        <f>Дума_партии[[#This Row],[Зона ответственности в сен. 2022 г.]]</f>
        <v>Одинцово КПРФ</v>
      </c>
    </row>
    <row r="69" spans="2:51" x14ac:dyDescent="0.4">
      <c r="B69" t="s">
        <v>74</v>
      </c>
      <c r="C69" t="s">
        <v>207</v>
      </c>
      <c r="D69" t="s">
        <v>102</v>
      </c>
      <c r="E69" t="s">
        <v>170</v>
      </c>
      <c r="F69" s="10">
        <f t="shared" ca="1" si="19"/>
        <v>1809</v>
      </c>
      <c r="G69" s="1" t="str">
        <f>Дума_партии[[#This Row],[Местоположение]]</f>
        <v>Селятино</v>
      </c>
      <c r="H69">
        <v>1203</v>
      </c>
      <c r="I69" s="10">
        <f>Мособлдума_партии[[#This Row],[Число избирателей, внесенных в список на момент окончания голосования]]</f>
        <v>1203</v>
      </c>
      <c r="J69">
        <v>1200</v>
      </c>
      <c r="K69" s="1"/>
      <c r="L69">
        <v>412</v>
      </c>
      <c r="M69">
        <v>10</v>
      </c>
      <c r="N69" s="3">
        <f t="shared" si="20"/>
        <v>35.078969243557772</v>
      </c>
      <c r="O69" s="3">
        <f t="shared" si="21"/>
        <v>0.83125519534497094</v>
      </c>
      <c r="P69">
        <v>778</v>
      </c>
      <c r="Q69">
        <v>10</v>
      </c>
      <c r="R69">
        <v>412</v>
      </c>
      <c r="S69" s="1">
        <f t="shared" si="22"/>
        <v>422</v>
      </c>
      <c r="T69" s="3">
        <f t="shared" si="23"/>
        <v>2.3696682464454977</v>
      </c>
      <c r="U69">
        <v>29</v>
      </c>
      <c r="V69" s="3">
        <f t="shared" si="24"/>
        <v>6.8720379146919433</v>
      </c>
      <c r="W69">
        <v>393</v>
      </c>
      <c r="X69">
        <v>0</v>
      </c>
      <c r="Y69">
        <v>0</v>
      </c>
      <c r="Z69">
        <v>10</v>
      </c>
      <c r="AA69" s="3">
        <f t="shared" si="25"/>
        <v>2.3696682464454977</v>
      </c>
      <c r="AB69">
        <v>34</v>
      </c>
      <c r="AC69" s="3">
        <f t="shared" si="26"/>
        <v>8.0568720379146921</v>
      </c>
      <c r="AD69">
        <v>32</v>
      </c>
      <c r="AE69" s="3">
        <f t="shared" si="27"/>
        <v>7.5829383886255926</v>
      </c>
      <c r="AF69">
        <v>30</v>
      </c>
      <c r="AG69" s="3">
        <f t="shared" si="28"/>
        <v>7.109004739336493</v>
      </c>
      <c r="AH69">
        <v>120</v>
      </c>
      <c r="AI69" s="3">
        <f t="shared" si="29"/>
        <v>28.436018957345972</v>
      </c>
      <c r="AJ69">
        <v>108</v>
      </c>
      <c r="AK69" s="3">
        <f t="shared" si="30"/>
        <v>25.592417061611375</v>
      </c>
      <c r="AL69">
        <v>6</v>
      </c>
      <c r="AM69" s="3">
        <f t="shared" si="31"/>
        <v>1.4218009478672986</v>
      </c>
      <c r="AN69">
        <v>13</v>
      </c>
      <c r="AO69" s="3">
        <f t="shared" si="32"/>
        <v>3.080568720379147</v>
      </c>
      <c r="AP69">
        <v>8</v>
      </c>
      <c r="AQ69" s="3">
        <f t="shared" si="33"/>
        <v>1.8957345971563981</v>
      </c>
      <c r="AR69">
        <v>32</v>
      </c>
      <c r="AS69" s="3">
        <f t="shared" si="34"/>
        <v>7.5829383886255926</v>
      </c>
      <c r="AT69" t="s">
        <v>208</v>
      </c>
      <c r="AV69"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-38.818181818181841</v>
      </c>
      <c r="AW69" s="13">
        <f>2*(Мособлдума_партии[[#This Row],[6. Всероссийская политическая партия "ЕДИНАЯ РОССИЯ"]]-(AA$124/100)*Мособлдума_партии[[#This Row],[Число действительных бюллетеней]])</f>
        <v>-51.240000000000009</v>
      </c>
      <c r="AX69" s="13">
        <f>(Мособлдума_партии[[#This Row],[Вброс]]+Мособлдума_партии[[#This Row],[Перекладывание]])/2</f>
        <v>-45.029090909090925</v>
      </c>
      <c r="AY69" s="13" t="str">
        <f>Дума_партии[[#This Row],[Зона ответственности в сен. 2022 г.]]</f>
        <v>Одинцово КПРФ</v>
      </c>
    </row>
    <row r="70" spans="2:51" x14ac:dyDescent="0.4">
      <c r="B70" t="s">
        <v>74</v>
      </c>
      <c r="C70" t="s">
        <v>207</v>
      </c>
      <c r="D70" t="s">
        <v>102</v>
      </c>
      <c r="E70" t="s">
        <v>171</v>
      </c>
      <c r="F70" s="10">
        <f t="shared" ca="1" si="19"/>
        <v>1810</v>
      </c>
      <c r="G70" s="1" t="str">
        <f>Дума_партии[[#This Row],[Местоположение]]</f>
        <v>Селятино</v>
      </c>
      <c r="H70">
        <v>1269</v>
      </c>
      <c r="I70" s="10">
        <f>Мособлдума_партии[[#This Row],[Число избирателей, внесенных в список на момент окончания голосования]]</f>
        <v>1269</v>
      </c>
      <c r="J70">
        <v>1200</v>
      </c>
      <c r="K70" s="1"/>
      <c r="L70">
        <v>420</v>
      </c>
      <c r="M70">
        <v>5</v>
      </c>
      <c r="N70" s="3">
        <f t="shared" si="20"/>
        <v>33.490937746256897</v>
      </c>
      <c r="O70" s="3">
        <f t="shared" si="21"/>
        <v>0.39401103230890466</v>
      </c>
      <c r="P70">
        <v>775</v>
      </c>
      <c r="Q70">
        <v>5</v>
      </c>
      <c r="R70">
        <v>420</v>
      </c>
      <c r="S70" s="1">
        <f t="shared" si="22"/>
        <v>425</v>
      </c>
      <c r="T70" s="3">
        <f t="shared" si="23"/>
        <v>1.1764705882352942</v>
      </c>
      <c r="U70">
        <v>21</v>
      </c>
      <c r="V70" s="3">
        <f t="shared" si="24"/>
        <v>4.9411764705882355</v>
      </c>
      <c r="W70">
        <v>404</v>
      </c>
      <c r="X70">
        <v>0</v>
      </c>
      <c r="Y70">
        <v>0</v>
      </c>
      <c r="Z70">
        <v>6</v>
      </c>
      <c r="AA70" s="3">
        <f t="shared" si="25"/>
        <v>1.411764705882353</v>
      </c>
      <c r="AB70">
        <v>33</v>
      </c>
      <c r="AC70" s="3">
        <f t="shared" si="26"/>
        <v>7.7647058823529411</v>
      </c>
      <c r="AD70">
        <v>24</v>
      </c>
      <c r="AE70" s="3">
        <f t="shared" si="27"/>
        <v>5.6470588235294121</v>
      </c>
      <c r="AF70">
        <v>19</v>
      </c>
      <c r="AG70" s="3">
        <f t="shared" si="28"/>
        <v>4.4705882352941178</v>
      </c>
      <c r="AH70">
        <v>102</v>
      </c>
      <c r="AI70" s="3">
        <f t="shared" si="29"/>
        <v>24</v>
      </c>
      <c r="AJ70">
        <v>177</v>
      </c>
      <c r="AK70" s="3">
        <f t="shared" si="30"/>
        <v>41.647058823529413</v>
      </c>
      <c r="AL70">
        <v>8</v>
      </c>
      <c r="AM70" s="3">
        <f t="shared" si="31"/>
        <v>1.8823529411764706</v>
      </c>
      <c r="AN70">
        <v>10</v>
      </c>
      <c r="AO70" s="3">
        <f t="shared" si="32"/>
        <v>2.3529411764705883</v>
      </c>
      <c r="AP70">
        <v>6</v>
      </c>
      <c r="AQ70" s="3">
        <f t="shared" si="33"/>
        <v>1.411764705882353</v>
      </c>
      <c r="AR70">
        <v>19</v>
      </c>
      <c r="AS70" s="3">
        <f t="shared" si="34"/>
        <v>4.4705882352941178</v>
      </c>
      <c r="AT70" t="s">
        <v>208</v>
      </c>
      <c r="AV70"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60.060606060606034</v>
      </c>
      <c r="AW70" s="13">
        <f>2*(Мособлдума_партии[[#This Row],[6. Всероссийская политическая партия "ЕДИНАЯ РОССИЯ"]]-(AA$124/100)*Мособлдума_партии[[#This Row],[Число действительных бюллетеней]])</f>
        <v>79.279999999999973</v>
      </c>
      <c r="AX70" s="13">
        <f>(Мособлдума_партии[[#This Row],[Вброс]]+Мособлдума_партии[[#This Row],[Перекладывание]])/2</f>
        <v>69.670303030303003</v>
      </c>
      <c r="AY70" s="13" t="str">
        <f>Дума_партии[[#This Row],[Зона ответственности в сен. 2022 г.]]</f>
        <v>Одинцово КПРФ</v>
      </c>
    </row>
    <row r="71" spans="2:51" x14ac:dyDescent="0.4">
      <c r="B71" t="s">
        <v>74</v>
      </c>
      <c r="C71" t="s">
        <v>207</v>
      </c>
      <c r="D71" t="s">
        <v>102</v>
      </c>
      <c r="E71" t="s">
        <v>172</v>
      </c>
      <c r="F71" s="10">
        <f t="shared" ca="1" si="19"/>
        <v>1811</v>
      </c>
      <c r="G71" s="1" t="str">
        <f>Дума_партии[[#This Row],[Местоположение]]</f>
        <v>Селятино</v>
      </c>
      <c r="H71">
        <v>806</v>
      </c>
      <c r="I71" s="10">
        <f>Мособлдума_партии[[#This Row],[Число избирателей, внесенных в список на момент окончания голосования]]</f>
        <v>806</v>
      </c>
      <c r="J71">
        <v>800</v>
      </c>
      <c r="K71" s="1"/>
      <c r="L71">
        <v>318</v>
      </c>
      <c r="M71">
        <v>2</v>
      </c>
      <c r="N71" s="3">
        <f t="shared" si="20"/>
        <v>39.702233250620345</v>
      </c>
      <c r="O71" s="3">
        <f t="shared" si="21"/>
        <v>0.24813895781637718</v>
      </c>
      <c r="P71">
        <v>480</v>
      </c>
      <c r="Q71">
        <v>2</v>
      </c>
      <c r="R71">
        <v>317</v>
      </c>
      <c r="S71" s="1">
        <f t="shared" si="22"/>
        <v>319</v>
      </c>
      <c r="T71" s="3">
        <f t="shared" si="23"/>
        <v>0.62695924764890287</v>
      </c>
      <c r="U71">
        <v>3</v>
      </c>
      <c r="V71" s="3">
        <f t="shared" si="24"/>
        <v>0.94043887147335425</v>
      </c>
      <c r="W71">
        <v>316</v>
      </c>
      <c r="X71">
        <v>0</v>
      </c>
      <c r="Y71">
        <v>0</v>
      </c>
      <c r="Z71">
        <v>3</v>
      </c>
      <c r="AA71" s="3">
        <f t="shared" si="25"/>
        <v>0.94043887147335425</v>
      </c>
      <c r="AB71">
        <v>20</v>
      </c>
      <c r="AC71" s="3">
        <f t="shared" si="26"/>
        <v>6.2695924764890281</v>
      </c>
      <c r="AD71">
        <v>20</v>
      </c>
      <c r="AE71" s="3">
        <f t="shared" si="27"/>
        <v>6.2695924764890281</v>
      </c>
      <c r="AF71">
        <v>16</v>
      </c>
      <c r="AG71" s="3">
        <f t="shared" si="28"/>
        <v>5.015673981191223</v>
      </c>
      <c r="AH71">
        <v>87</v>
      </c>
      <c r="AI71" s="3">
        <f t="shared" si="29"/>
        <v>27.272727272727273</v>
      </c>
      <c r="AJ71">
        <v>117</v>
      </c>
      <c r="AK71" s="3">
        <f t="shared" si="30"/>
        <v>36.677115987460816</v>
      </c>
      <c r="AL71">
        <v>11</v>
      </c>
      <c r="AM71" s="3">
        <f t="shared" si="31"/>
        <v>3.4482758620689653</v>
      </c>
      <c r="AN71">
        <v>16</v>
      </c>
      <c r="AO71" s="3">
        <f t="shared" si="32"/>
        <v>5.015673981191223</v>
      </c>
      <c r="AP71">
        <v>5</v>
      </c>
      <c r="AQ71" s="3">
        <f t="shared" si="33"/>
        <v>1.567398119122257</v>
      </c>
      <c r="AR71">
        <v>21</v>
      </c>
      <c r="AS71" s="3">
        <f t="shared" si="34"/>
        <v>6.5830721003134798</v>
      </c>
      <c r="AT71" t="s">
        <v>208</v>
      </c>
      <c r="AV71"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14.48484848484847</v>
      </c>
      <c r="AW71" s="13">
        <f>2*(Мособлдума_партии[[#This Row],[6. Всероссийская политическая партия "ЕДИНАЯ РОССИЯ"]]-(AA$124/100)*Мособлдума_партии[[#This Row],[Число действительных бюллетеней]])</f>
        <v>19.119999999999976</v>
      </c>
      <c r="AX71" s="13">
        <f>(Мособлдума_партии[[#This Row],[Вброс]]+Мособлдума_партии[[#This Row],[Перекладывание]])/2</f>
        <v>16.802424242424223</v>
      </c>
      <c r="AY71" s="13" t="str">
        <f>Дума_партии[[#This Row],[Зона ответственности в сен. 2022 г.]]</f>
        <v>Одинцово КПРФ</v>
      </c>
    </row>
    <row r="72" spans="2:51" x14ac:dyDescent="0.4">
      <c r="B72" t="s">
        <v>74</v>
      </c>
      <c r="C72" t="s">
        <v>207</v>
      </c>
      <c r="D72" t="s">
        <v>102</v>
      </c>
      <c r="E72" t="s">
        <v>173</v>
      </c>
      <c r="F72" s="10">
        <f t="shared" ref="F72:F103" ca="1" si="35">SUMPRODUCT(MID(0&amp;E72, LARGE(INDEX(ISNUMBER(--MID(E72, ROW(INDIRECT("1:"&amp;LEN(E72))), 1)) * ROW(INDIRECT("1:"&amp;LEN(E72))), 0), ROW(INDIRECT("1:"&amp;LEN(E72))))+1, 1) * 10^ROW(INDIRECT("1:"&amp;LEN(E72)))/10)</f>
        <v>1812</v>
      </c>
      <c r="G72" s="1" t="str">
        <f>Дума_партии[[#This Row],[Местоположение]]</f>
        <v>Алабино</v>
      </c>
      <c r="H72">
        <v>555</v>
      </c>
      <c r="I72" s="10">
        <f>Мособлдума_партии[[#This Row],[Число избирателей, внесенных в список на момент окончания голосования]]</f>
        <v>555</v>
      </c>
      <c r="J72">
        <v>500</v>
      </c>
      <c r="K72" s="1"/>
      <c r="L72">
        <v>145</v>
      </c>
      <c r="M72">
        <v>4</v>
      </c>
      <c r="N72" s="3">
        <f t="shared" ref="N72:N103" si="36">100*(L72+M72)/H72</f>
        <v>26.846846846846848</v>
      </c>
      <c r="O72" s="3">
        <f t="shared" ref="O72:O105" si="37">100*M72/H72</f>
        <v>0.72072072072072069</v>
      </c>
      <c r="P72">
        <v>351</v>
      </c>
      <c r="Q72">
        <v>4</v>
      </c>
      <c r="R72">
        <v>145</v>
      </c>
      <c r="S72" s="1">
        <f t="shared" ref="S72:S103" si="38">Q72+R72</f>
        <v>149</v>
      </c>
      <c r="T72" s="3">
        <f t="shared" ref="T72:T103" si="39">100*Q72/S72</f>
        <v>2.6845637583892619</v>
      </c>
      <c r="U72">
        <v>4</v>
      </c>
      <c r="V72" s="3">
        <f t="shared" ref="V72:V103" si="40">100*U72/S72</f>
        <v>2.6845637583892619</v>
      </c>
      <c r="W72">
        <v>145</v>
      </c>
      <c r="X72">
        <v>0</v>
      </c>
      <c r="Y72">
        <v>0</v>
      </c>
      <c r="Z72">
        <v>2</v>
      </c>
      <c r="AA72" s="3">
        <f t="shared" ref="AA72:AA103" si="41">100*Z72/$S72</f>
        <v>1.3422818791946309</v>
      </c>
      <c r="AB72">
        <v>16</v>
      </c>
      <c r="AC72" s="3">
        <f t="shared" ref="AC72:AC103" si="42">100*AB72/$S72</f>
        <v>10.738255033557047</v>
      </c>
      <c r="AD72">
        <v>17</v>
      </c>
      <c r="AE72" s="3">
        <f t="shared" ref="AE72:AE103" si="43">100*AD72/$S72</f>
        <v>11.409395973154362</v>
      </c>
      <c r="AF72">
        <v>5</v>
      </c>
      <c r="AG72" s="3">
        <f t="shared" ref="AG72:AG103" si="44">100*AF72/$S72</f>
        <v>3.3557046979865772</v>
      </c>
      <c r="AH72">
        <v>59</v>
      </c>
      <c r="AI72" s="3">
        <f t="shared" ref="AI72:AI103" si="45">100*AH72/$S72</f>
        <v>39.597315436241608</v>
      </c>
      <c r="AJ72">
        <v>30</v>
      </c>
      <c r="AK72" s="3">
        <f t="shared" ref="AK72:AK103" si="46">100*AJ72/$S72</f>
        <v>20.134228187919462</v>
      </c>
      <c r="AL72">
        <v>1</v>
      </c>
      <c r="AM72" s="3">
        <f t="shared" ref="AM72:AM103" si="47">100*AL72/$S72</f>
        <v>0.67114093959731547</v>
      </c>
      <c r="AN72">
        <v>5</v>
      </c>
      <c r="AO72" s="3">
        <f t="shared" ref="AO72:AO103" si="48">100*AN72/$S72</f>
        <v>3.3557046979865772</v>
      </c>
      <c r="AP72">
        <v>3</v>
      </c>
      <c r="AQ72" s="3">
        <f t="shared" ref="AQ72:AQ103" si="49">100*AP72/$S72</f>
        <v>2.0134228187919465</v>
      </c>
      <c r="AR72">
        <v>7</v>
      </c>
      <c r="AS72" s="3">
        <f t="shared" ref="AS72:AS103" si="50">100*AR72/$S72</f>
        <v>4.6979865771812079</v>
      </c>
      <c r="AT72" t="s">
        <v>208</v>
      </c>
      <c r="AV72"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-29.242424242424256</v>
      </c>
      <c r="AW72" s="13">
        <f>2*(Мособлдума_партии[[#This Row],[6. Всероссийская политическая партия "ЕДИНАЯ РОССИЯ"]]-(AA$124/100)*Мособлдума_партии[[#This Row],[Число действительных бюллетеней]])</f>
        <v>-38.600000000000009</v>
      </c>
      <c r="AX72" s="13">
        <f>(Мособлдума_партии[[#This Row],[Вброс]]+Мособлдума_партии[[#This Row],[Перекладывание]])/2</f>
        <v>-33.921212121212136</v>
      </c>
      <c r="AY72" s="13" t="str">
        <f>Дума_партии[[#This Row],[Зона ответственности в сен. 2022 г.]]</f>
        <v>Одинцово КПРФ</v>
      </c>
    </row>
    <row r="73" spans="2:51" x14ac:dyDescent="0.4">
      <c r="B73" t="s">
        <v>74</v>
      </c>
      <c r="C73" t="s">
        <v>207</v>
      </c>
      <c r="D73" t="s">
        <v>102</v>
      </c>
      <c r="E73" t="s">
        <v>174</v>
      </c>
      <c r="F73" s="10">
        <f t="shared" ca="1" si="35"/>
        <v>1813</v>
      </c>
      <c r="G73" s="1" t="str">
        <f>Дума_партии[[#This Row],[Местоположение]]</f>
        <v>Софьино</v>
      </c>
      <c r="H73">
        <v>2037</v>
      </c>
      <c r="I73" s="10">
        <f>Мособлдума_партии[[#This Row],[Число избирателей, внесенных в список на момент окончания голосования]]</f>
        <v>2037</v>
      </c>
      <c r="J73">
        <v>2000</v>
      </c>
      <c r="K73" s="1"/>
      <c r="L73">
        <v>601</v>
      </c>
      <c r="M73">
        <v>60</v>
      </c>
      <c r="N73" s="3">
        <f t="shared" si="36"/>
        <v>32.449680903289149</v>
      </c>
      <c r="O73" s="3">
        <f t="shared" si="37"/>
        <v>2.9455081001472756</v>
      </c>
      <c r="P73">
        <v>1339</v>
      </c>
      <c r="Q73">
        <v>60</v>
      </c>
      <c r="R73">
        <v>600</v>
      </c>
      <c r="S73" s="1">
        <f t="shared" si="38"/>
        <v>660</v>
      </c>
      <c r="T73" s="3">
        <f t="shared" si="39"/>
        <v>9.0909090909090917</v>
      </c>
      <c r="U73">
        <v>25</v>
      </c>
      <c r="V73" s="3">
        <f t="shared" si="40"/>
        <v>3.7878787878787881</v>
      </c>
      <c r="W73">
        <v>635</v>
      </c>
      <c r="X73">
        <v>0</v>
      </c>
      <c r="Y73">
        <v>0</v>
      </c>
      <c r="Z73">
        <v>11</v>
      </c>
      <c r="AA73" s="3">
        <f t="shared" si="41"/>
        <v>1.6666666666666667</v>
      </c>
      <c r="AB73">
        <v>82</v>
      </c>
      <c r="AC73" s="3">
        <f t="shared" si="42"/>
        <v>12.424242424242424</v>
      </c>
      <c r="AD73">
        <v>41</v>
      </c>
      <c r="AE73" s="3">
        <f t="shared" si="43"/>
        <v>6.2121212121212119</v>
      </c>
      <c r="AF73">
        <v>33</v>
      </c>
      <c r="AG73" s="3">
        <f t="shared" si="44"/>
        <v>5</v>
      </c>
      <c r="AH73">
        <v>147</v>
      </c>
      <c r="AI73" s="3">
        <f t="shared" si="45"/>
        <v>22.272727272727273</v>
      </c>
      <c r="AJ73">
        <v>208</v>
      </c>
      <c r="AK73" s="3">
        <f t="shared" si="46"/>
        <v>31.515151515151516</v>
      </c>
      <c r="AL73">
        <v>12</v>
      </c>
      <c r="AM73" s="3">
        <f t="shared" si="47"/>
        <v>1.8181818181818181</v>
      </c>
      <c r="AN73">
        <v>28</v>
      </c>
      <c r="AO73" s="3">
        <f t="shared" si="48"/>
        <v>4.2424242424242422</v>
      </c>
      <c r="AP73">
        <v>16</v>
      </c>
      <c r="AQ73" s="3">
        <f t="shared" si="49"/>
        <v>2.4242424242424243</v>
      </c>
      <c r="AR73">
        <v>57</v>
      </c>
      <c r="AS73" s="3">
        <f t="shared" si="50"/>
        <v>8.6363636363636367</v>
      </c>
      <c r="AT73" t="s">
        <v>208</v>
      </c>
      <c r="AV73"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-11.969696969696997</v>
      </c>
      <c r="AW73" s="13">
        <f>2*(Мособлдума_партии[[#This Row],[6. Всероссийская политическая партия "ЕДИНАЯ РОССИЯ"]]-(AA$124/100)*Мособлдума_партии[[#This Row],[Число действительных бюллетеней]])</f>
        <v>-15.800000000000011</v>
      </c>
      <c r="AX73" s="13">
        <f>(Мособлдума_партии[[#This Row],[Вброс]]+Мособлдума_партии[[#This Row],[Перекладывание]])/2</f>
        <v>-13.884848484848504</v>
      </c>
      <c r="AY73" s="13" t="str">
        <f>Дума_партии[[#This Row],[Зона ответственности в сен. 2022 г.]]</f>
        <v>Одинцово КПРФ</v>
      </c>
    </row>
    <row r="74" spans="2:51" x14ac:dyDescent="0.4">
      <c r="B74" t="s">
        <v>74</v>
      </c>
      <c r="C74" t="s">
        <v>207</v>
      </c>
      <c r="D74" t="s">
        <v>102</v>
      </c>
      <c r="E74" t="s">
        <v>175</v>
      </c>
      <c r="F74" s="10">
        <f t="shared" ca="1" si="35"/>
        <v>1814</v>
      </c>
      <c r="G74" s="1" t="str">
        <f>Дума_партии[[#This Row],[Местоположение]]</f>
        <v>Атепцево</v>
      </c>
      <c r="H74">
        <v>639</v>
      </c>
      <c r="I74" s="10">
        <f>Мособлдума_партии[[#This Row],[Число избирателей, внесенных в список на момент окончания голосования]]</f>
        <v>639</v>
      </c>
      <c r="J74">
        <v>600</v>
      </c>
      <c r="K74" s="1"/>
      <c r="L74">
        <v>288</v>
      </c>
      <c r="M74">
        <v>92</v>
      </c>
      <c r="N74" s="3">
        <f t="shared" si="36"/>
        <v>59.467918622848202</v>
      </c>
      <c r="O74" s="3">
        <f t="shared" si="37"/>
        <v>14.397496087636933</v>
      </c>
      <c r="P74">
        <v>220</v>
      </c>
      <c r="Q74">
        <v>92</v>
      </c>
      <c r="R74">
        <v>288</v>
      </c>
      <c r="S74" s="1">
        <f t="shared" si="38"/>
        <v>380</v>
      </c>
      <c r="T74" s="3">
        <f t="shared" si="39"/>
        <v>24.210526315789473</v>
      </c>
      <c r="U74">
        <v>24</v>
      </c>
      <c r="V74" s="3">
        <f t="shared" si="40"/>
        <v>6.3157894736842106</v>
      </c>
      <c r="W74">
        <v>356</v>
      </c>
      <c r="X74">
        <v>0</v>
      </c>
      <c r="Y74">
        <v>0</v>
      </c>
      <c r="Z74">
        <v>3</v>
      </c>
      <c r="AA74" s="3">
        <f t="shared" si="41"/>
        <v>0.78947368421052633</v>
      </c>
      <c r="AB74">
        <v>31</v>
      </c>
      <c r="AC74" s="3">
        <f t="shared" si="42"/>
        <v>8.1578947368421044</v>
      </c>
      <c r="AD74">
        <v>13</v>
      </c>
      <c r="AE74" s="3">
        <f t="shared" si="43"/>
        <v>3.4210526315789473</v>
      </c>
      <c r="AF74">
        <v>9</v>
      </c>
      <c r="AG74" s="3">
        <f t="shared" si="44"/>
        <v>2.3684210526315788</v>
      </c>
      <c r="AH74">
        <v>27</v>
      </c>
      <c r="AI74" s="3">
        <f t="shared" si="45"/>
        <v>7.1052631578947372</v>
      </c>
      <c r="AJ74">
        <v>252</v>
      </c>
      <c r="AK74" s="3">
        <f t="shared" si="46"/>
        <v>66.315789473684205</v>
      </c>
      <c r="AL74">
        <v>2</v>
      </c>
      <c r="AM74" s="3">
        <f t="shared" si="47"/>
        <v>0.52631578947368418</v>
      </c>
      <c r="AN74">
        <v>3</v>
      </c>
      <c r="AO74" s="3">
        <f t="shared" si="48"/>
        <v>0.78947368421052633</v>
      </c>
      <c r="AP74">
        <v>5</v>
      </c>
      <c r="AQ74" s="3">
        <f t="shared" si="49"/>
        <v>1.3157894736842106</v>
      </c>
      <c r="AR74">
        <v>11</v>
      </c>
      <c r="AS74" s="3">
        <f t="shared" si="50"/>
        <v>2.8947368421052633</v>
      </c>
      <c r="AT74" t="s">
        <v>208</v>
      </c>
      <c r="AV74"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198.42424242424241</v>
      </c>
      <c r="AW74" s="13">
        <f>2*(Мособлдума_партии[[#This Row],[6. Всероссийская политическая партия "ЕДИНАЯ РОССИЯ"]]-(AA$124/100)*Мособлдума_партии[[#This Row],[Число действительных бюллетеней]])</f>
        <v>261.91999999999996</v>
      </c>
      <c r="AX74" s="13">
        <f>(Мособлдума_партии[[#This Row],[Вброс]]+Мособлдума_партии[[#This Row],[Перекладывание]])/2</f>
        <v>230.17212121212117</v>
      </c>
      <c r="AY74" s="13">
        <f>Дума_партии[[#This Row],[Зона ответственности в сен. 2022 г.]]</f>
        <v>0</v>
      </c>
    </row>
    <row r="75" spans="2:51" x14ac:dyDescent="0.4">
      <c r="B75" t="s">
        <v>74</v>
      </c>
      <c r="C75" t="s">
        <v>207</v>
      </c>
      <c r="D75" t="s">
        <v>102</v>
      </c>
      <c r="E75" t="s">
        <v>176</v>
      </c>
      <c r="F75" s="10">
        <f t="shared" ca="1" si="35"/>
        <v>1815</v>
      </c>
      <c r="G75" s="1" t="str">
        <f>Дума_партии[[#This Row],[Местоположение]]</f>
        <v>Атепцево</v>
      </c>
      <c r="H75">
        <v>1253</v>
      </c>
      <c r="I75" s="10">
        <f>Мособлдума_партии[[#This Row],[Число избирателей, внесенных в список на момент окончания голосования]]</f>
        <v>1253</v>
      </c>
      <c r="J75">
        <v>1200</v>
      </c>
      <c r="K75" s="1"/>
      <c r="L75">
        <v>605</v>
      </c>
      <c r="M75">
        <v>16</v>
      </c>
      <c r="N75" s="3">
        <f t="shared" si="36"/>
        <v>49.561053471667996</v>
      </c>
      <c r="O75" s="3">
        <f t="shared" si="37"/>
        <v>1.2769353551476457</v>
      </c>
      <c r="P75">
        <v>579</v>
      </c>
      <c r="Q75">
        <v>16</v>
      </c>
      <c r="R75">
        <v>605</v>
      </c>
      <c r="S75" s="1">
        <f t="shared" si="38"/>
        <v>621</v>
      </c>
      <c r="T75" s="3">
        <f t="shared" si="39"/>
        <v>2.576489533011272</v>
      </c>
      <c r="U75">
        <v>8</v>
      </c>
      <c r="V75" s="3">
        <f t="shared" si="40"/>
        <v>1.288244766505636</v>
      </c>
      <c r="W75">
        <v>613</v>
      </c>
      <c r="X75">
        <v>0</v>
      </c>
      <c r="Y75">
        <v>0</v>
      </c>
      <c r="Z75">
        <v>14</v>
      </c>
      <c r="AA75" s="3">
        <f t="shared" si="41"/>
        <v>2.2544283413848629</v>
      </c>
      <c r="AB75">
        <v>53</v>
      </c>
      <c r="AC75" s="3">
        <f t="shared" si="42"/>
        <v>8.5346215780998396</v>
      </c>
      <c r="AD75">
        <v>34</v>
      </c>
      <c r="AE75" s="3">
        <f t="shared" si="43"/>
        <v>5.4750402576489536</v>
      </c>
      <c r="AF75">
        <v>27</v>
      </c>
      <c r="AG75" s="3">
        <f t="shared" si="44"/>
        <v>4.3478260869565215</v>
      </c>
      <c r="AH75">
        <v>110</v>
      </c>
      <c r="AI75" s="3">
        <f t="shared" si="45"/>
        <v>17.713365539452496</v>
      </c>
      <c r="AJ75">
        <v>318</v>
      </c>
      <c r="AK75" s="3">
        <f t="shared" si="46"/>
        <v>51.207729468599034</v>
      </c>
      <c r="AL75">
        <v>15</v>
      </c>
      <c r="AM75" s="3">
        <f t="shared" si="47"/>
        <v>2.4154589371980677</v>
      </c>
      <c r="AN75">
        <v>7</v>
      </c>
      <c r="AO75" s="3">
        <f t="shared" si="48"/>
        <v>1.1272141706924315</v>
      </c>
      <c r="AP75">
        <v>10</v>
      </c>
      <c r="AQ75" s="3">
        <f t="shared" si="49"/>
        <v>1.6103059581320451</v>
      </c>
      <c r="AR75">
        <v>25</v>
      </c>
      <c r="AS75" s="3">
        <f t="shared" si="50"/>
        <v>4.0257648953301128</v>
      </c>
      <c r="AT75" t="s">
        <v>208</v>
      </c>
      <c r="AV75"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166.030303030303</v>
      </c>
      <c r="AW75" s="13">
        <f>2*(Мособлдума_партии[[#This Row],[6. Всероссийская политическая партия "ЕДИНАЯ РОССИЯ"]]-(AA$124/100)*Мособлдума_партии[[#This Row],[Число действительных бюллетеней]])</f>
        <v>219.15999999999997</v>
      </c>
      <c r="AX75" s="13">
        <f>(Мособлдума_партии[[#This Row],[Вброс]]+Мособлдума_партии[[#This Row],[Перекладывание]])/2</f>
        <v>192.59515151515149</v>
      </c>
      <c r="AY75" s="13">
        <f>Дума_партии[[#This Row],[Зона ответственности в сен. 2022 г.]]</f>
        <v>0</v>
      </c>
    </row>
    <row r="76" spans="2:51" x14ac:dyDescent="0.4">
      <c r="B76" t="s">
        <v>74</v>
      </c>
      <c r="C76" t="s">
        <v>207</v>
      </c>
      <c r="D76" t="s">
        <v>102</v>
      </c>
      <c r="E76" t="s">
        <v>177</v>
      </c>
      <c r="F76" s="10">
        <f t="shared" ca="1" si="35"/>
        <v>1816</v>
      </c>
      <c r="G76" s="1" t="str">
        <f>Дума_партии[[#This Row],[Местоположение]]</f>
        <v>Атепцево</v>
      </c>
      <c r="H76">
        <v>1272</v>
      </c>
      <c r="I76" s="10">
        <f>Мособлдума_партии[[#This Row],[Число избирателей, внесенных в список на момент окончания голосования]]</f>
        <v>1272</v>
      </c>
      <c r="J76">
        <v>1200</v>
      </c>
      <c r="K76" s="1"/>
      <c r="L76">
        <v>614</v>
      </c>
      <c r="M76">
        <v>44</v>
      </c>
      <c r="N76" s="3">
        <f t="shared" si="36"/>
        <v>51.729559748427675</v>
      </c>
      <c r="O76" s="3">
        <f t="shared" si="37"/>
        <v>3.459119496855346</v>
      </c>
      <c r="P76">
        <v>542</v>
      </c>
      <c r="Q76">
        <v>44</v>
      </c>
      <c r="R76">
        <v>614</v>
      </c>
      <c r="S76" s="1">
        <f t="shared" si="38"/>
        <v>658</v>
      </c>
      <c r="T76" s="3">
        <f t="shared" si="39"/>
        <v>6.6869300911854106</v>
      </c>
      <c r="U76">
        <v>24</v>
      </c>
      <c r="V76" s="3">
        <f t="shared" si="40"/>
        <v>3.6474164133738602</v>
      </c>
      <c r="W76">
        <v>634</v>
      </c>
      <c r="X76">
        <v>0</v>
      </c>
      <c r="Y76">
        <v>0</v>
      </c>
      <c r="Z76">
        <v>5</v>
      </c>
      <c r="AA76" s="3">
        <f t="shared" si="41"/>
        <v>0.75987841945288759</v>
      </c>
      <c r="AB76">
        <v>49</v>
      </c>
      <c r="AC76" s="3">
        <f t="shared" si="42"/>
        <v>7.4468085106382977</v>
      </c>
      <c r="AD76">
        <v>26</v>
      </c>
      <c r="AE76" s="3">
        <f t="shared" si="43"/>
        <v>3.9513677811550152</v>
      </c>
      <c r="AF76">
        <v>33</v>
      </c>
      <c r="AG76" s="3">
        <f t="shared" si="44"/>
        <v>5.0151975683890582</v>
      </c>
      <c r="AH76">
        <v>124</v>
      </c>
      <c r="AI76" s="3">
        <f t="shared" si="45"/>
        <v>18.844984802431611</v>
      </c>
      <c r="AJ76">
        <v>336</v>
      </c>
      <c r="AK76" s="3">
        <f t="shared" si="46"/>
        <v>51.063829787234042</v>
      </c>
      <c r="AL76">
        <v>13</v>
      </c>
      <c r="AM76" s="3">
        <f t="shared" si="47"/>
        <v>1.9756838905775076</v>
      </c>
      <c r="AN76">
        <v>12</v>
      </c>
      <c r="AO76" s="3">
        <f t="shared" si="48"/>
        <v>1.8237082066869301</v>
      </c>
      <c r="AP76">
        <v>12</v>
      </c>
      <c r="AQ76" s="3">
        <f t="shared" si="49"/>
        <v>1.8237082066869301</v>
      </c>
      <c r="AR76">
        <v>24</v>
      </c>
      <c r="AS76" s="3">
        <f t="shared" si="50"/>
        <v>3.6474164133738602</v>
      </c>
      <c r="AT76" t="s">
        <v>208</v>
      </c>
      <c r="AV76"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182.48484848484844</v>
      </c>
      <c r="AW76" s="13">
        <f>2*(Мособлдума_партии[[#This Row],[6. Всероссийская политическая партия "ЕДИНАЯ РОССИЯ"]]-(AA$124/100)*Мособлдума_партии[[#This Row],[Число действительных бюллетеней]])</f>
        <v>240.88</v>
      </c>
      <c r="AX76" s="13">
        <f>(Мособлдума_партии[[#This Row],[Вброс]]+Мособлдума_партии[[#This Row],[Перекладывание]])/2</f>
        <v>211.68242424242422</v>
      </c>
      <c r="AY76" s="13">
        <f>Дума_партии[[#This Row],[Зона ответственности в сен. 2022 г.]]</f>
        <v>0</v>
      </c>
    </row>
    <row r="77" spans="2:51" x14ac:dyDescent="0.4">
      <c r="B77" t="s">
        <v>74</v>
      </c>
      <c r="C77" t="s">
        <v>207</v>
      </c>
      <c r="D77" t="s">
        <v>102</v>
      </c>
      <c r="E77" t="s">
        <v>178</v>
      </c>
      <c r="F77" s="10">
        <f t="shared" ca="1" si="35"/>
        <v>1817</v>
      </c>
      <c r="G77" s="1" t="str">
        <f>Дума_партии[[#This Row],[Местоположение]]</f>
        <v>Новая Ольховка</v>
      </c>
      <c r="H77">
        <v>742</v>
      </c>
      <c r="I77" s="10">
        <f>Мособлдума_партии[[#This Row],[Число избирателей, внесенных в список на момент окончания голосования]]</f>
        <v>742</v>
      </c>
      <c r="J77">
        <v>600</v>
      </c>
      <c r="K77" s="1"/>
      <c r="L77">
        <v>184</v>
      </c>
      <c r="M77">
        <v>155</v>
      </c>
      <c r="N77" s="3">
        <f t="shared" si="36"/>
        <v>45.687331536388143</v>
      </c>
      <c r="O77" s="3">
        <f t="shared" si="37"/>
        <v>20.889487870619945</v>
      </c>
      <c r="P77">
        <v>261</v>
      </c>
      <c r="Q77">
        <v>155</v>
      </c>
      <c r="R77">
        <v>184</v>
      </c>
      <c r="S77" s="1">
        <f t="shared" si="38"/>
        <v>339</v>
      </c>
      <c r="T77" s="3">
        <f t="shared" si="39"/>
        <v>45.722713864306783</v>
      </c>
      <c r="U77">
        <v>11</v>
      </c>
      <c r="V77" s="3">
        <f t="shared" si="40"/>
        <v>3.2448377581120944</v>
      </c>
      <c r="W77">
        <v>328</v>
      </c>
      <c r="X77">
        <v>0</v>
      </c>
      <c r="Y77">
        <v>0</v>
      </c>
      <c r="Z77">
        <v>3</v>
      </c>
      <c r="AA77" s="3">
        <f t="shared" si="41"/>
        <v>0.88495575221238942</v>
      </c>
      <c r="AB77">
        <v>31</v>
      </c>
      <c r="AC77" s="3">
        <f t="shared" si="42"/>
        <v>9.1445427728613566</v>
      </c>
      <c r="AD77">
        <v>7</v>
      </c>
      <c r="AE77" s="3">
        <f t="shared" si="43"/>
        <v>2.0648967551622417</v>
      </c>
      <c r="AF77">
        <v>15</v>
      </c>
      <c r="AG77" s="3">
        <f t="shared" si="44"/>
        <v>4.4247787610619467</v>
      </c>
      <c r="AH77">
        <v>62</v>
      </c>
      <c r="AI77" s="3">
        <f t="shared" si="45"/>
        <v>18.289085545722713</v>
      </c>
      <c r="AJ77">
        <v>184</v>
      </c>
      <c r="AK77" s="3">
        <f t="shared" si="46"/>
        <v>54.277286135693217</v>
      </c>
      <c r="AL77">
        <v>4</v>
      </c>
      <c r="AM77" s="3">
        <f t="shared" si="47"/>
        <v>1.1799410029498525</v>
      </c>
      <c r="AN77">
        <v>2</v>
      </c>
      <c r="AO77" s="3">
        <f t="shared" si="48"/>
        <v>0.58997050147492625</v>
      </c>
      <c r="AP77">
        <v>4</v>
      </c>
      <c r="AQ77" s="3">
        <f t="shared" si="49"/>
        <v>1.1799410029498525</v>
      </c>
      <c r="AR77">
        <v>16</v>
      </c>
      <c r="AS77" s="3">
        <f t="shared" si="50"/>
        <v>4.71976401179941</v>
      </c>
      <c r="AT77" t="s">
        <v>208</v>
      </c>
      <c r="AV77"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109.8181818181818</v>
      </c>
      <c r="AW77" s="13">
        <f>2*(Мособлдума_партии[[#This Row],[6. Всероссийская политическая партия "ЕДИНАЯ РОССИЯ"]]-(AA$124/100)*Мособлдума_партии[[#This Row],[Число действительных бюллетеней]])</f>
        <v>144.95999999999998</v>
      </c>
      <c r="AX77" s="13">
        <f>(Мособлдума_партии[[#This Row],[Вброс]]+Мособлдума_партии[[#This Row],[Перекладывание]])/2</f>
        <v>127.3890909090909</v>
      </c>
      <c r="AY77" s="13">
        <f>Дума_партии[[#This Row],[Зона ответственности в сен. 2022 г.]]</f>
        <v>0</v>
      </c>
    </row>
    <row r="78" spans="2:51" x14ac:dyDescent="0.4">
      <c r="B78" t="s">
        <v>74</v>
      </c>
      <c r="C78" t="s">
        <v>207</v>
      </c>
      <c r="D78" t="s">
        <v>102</v>
      </c>
      <c r="E78" t="s">
        <v>179</v>
      </c>
      <c r="F78" s="10">
        <f t="shared" ca="1" si="35"/>
        <v>1818</v>
      </c>
      <c r="G78" s="1" t="str">
        <f>Дума_партии[[#This Row],[Местоположение]]</f>
        <v>Новая Ольховка</v>
      </c>
      <c r="H78">
        <v>1230</v>
      </c>
      <c r="I78" s="10">
        <f>Мособлдума_партии[[#This Row],[Число избирателей, внесенных в список на момент окончания голосования]]</f>
        <v>1230</v>
      </c>
      <c r="J78">
        <v>1200</v>
      </c>
      <c r="K78" s="1"/>
      <c r="L78">
        <v>533</v>
      </c>
      <c r="M78">
        <v>139</v>
      </c>
      <c r="N78" s="3">
        <f t="shared" si="36"/>
        <v>54.634146341463413</v>
      </c>
      <c r="O78" s="3">
        <f t="shared" si="37"/>
        <v>11.300813008130081</v>
      </c>
      <c r="P78">
        <v>528</v>
      </c>
      <c r="Q78">
        <v>139</v>
      </c>
      <c r="R78">
        <v>533</v>
      </c>
      <c r="S78" s="1">
        <f t="shared" si="38"/>
        <v>672</v>
      </c>
      <c r="T78" s="3">
        <f t="shared" si="39"/>
        <v>20.68452380952381</v>
      </c>
      <c r="U78">
        <v>12</v>
      </c>
      <c r="V78" s="3">
        <f t="shared" si="40"/>
        <v>1.7857142857142858</v>
      </c>
      <c r="W78">
        <v>660</v>
      </c>
      <c r="X78">
        <v>0</v>
      </c>
      <c r="Y78">
        <v>0</v>
      </c>
      <c r="Z78">
        <v>7</v>
      </c>
      <c r="AA78" s="3">
        <f t="shared" si="41"/>
        <v>1.0416666666666667</v>
      </c>
      <c r="AB78">
        <v>54</v>
      </c>
      <c r="AC78" s="3">
        <f t="shared" si="42"/>
        <v>8.0357142857142865</v>
      </c>
      <c r="AD78">
        <v>32</v>
      </c>
      <c r="AE78" s="3">
        <f t="shared" si="43"/>
        <v>4.7619047619047619</v>
      </c>
      <c r="AF78">
        <v>23</v>
      </c>
      <c r="AG78" s="3">
        <f t="shared" si="44"/>
        <v>3.4226190476190474</v>
      </c>
      <c r="AH78">
        <v>128</v>
      </c>
      <c r="AI78" s="3">
        <f t="shared" si="45"/>
        <v>19.047619047619047</v>
      </c>
      <c r="AJ78">
        <v>356</v>
      </c>
      <c r="AK78" s="3">
        <f t="shared" si="46"/>
        <v>52.976190476190474</v>
      </c>
      <c r="AL78">
        <v>3</v>
      </c>
      <c r="AM78" s="3">
        <f t="shared" si="47"/>
        <v>0.44642857142857145</v>
      </c>
      <c r="AN78">
        <v>9</v>
      </c>
      <c r="AO78" s="3">
        <f t="shared" si="48"/>
        <v>1.3392857142857142</v>
      </c>
      <c r="AP78">
        <v>7</v>
      </c>
      <c r="AQ78" s="3">
        <f t="shared" si="49"/>
        <v>1.0416666666666667</v>
      </c>
      <c r="AR78">
        <v>41</v>
      </c>
      <c r="AS78" s="3">
        <f t="shared" si="50"/>
        <v>6.1011904761904763</v>
      </c>
      <c r="AT78" t="s">
        <v>208</v>
      </c>
      <c r="AV78"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199.39393939393938</v>
      </c>
      <c r="AW78" s="13">
        <f>2*(Мособлдума_партии[[#This Row],[6. Всероссийская политическая партия "ЕДИНАЯ РОССИЯ"]]-(AA$124/100)*Мособлдума_партии[[#This Row],[Число действительных бюллетеней]])</f>
        <v>263.2</v>
      </c>
      <c r="AX78" s="13">
        <f>(Мособлдума_партии[[#This Row],[Вброс]]+Мособлдума_партии[[#This Row],[Перекладывание]])/2</f>
        <v>231.29696969696968</v>
      </c>
      <c r="AY78" s="13">
        <f>Дума_партии[[#This Row],[Зона ответственности в сен. 2022 г.]]</f>
        <v>0</v>
      </c>
    </row>
    <row r="79" spans="2:51" x14ac:dyDescent="0.4">
      <c r="B79" t="s">
        <v>74</v>
      </c>
      <c r="C79" t="s">
        <v>207</v>
      </c>
      <c r="D79" t="s">
        <v>102</v>
      </c>
      <c r="E79" t="s">
        <v>180</v>
      </c>
      <c r="F79" s="10">
        <f t="shared" ca="1" si="35"/>
        <v>1819</v>
      </c>
      <c r="G79" s="1" t="str">
        <f>Дума_партии[[#This Row],[Местоположение]]</f>
        <v>Каменское</v>
      </c>
      <c r="H79">
        <v>1158</v>
      </c>
      <c r="I79" s="10">
        <f>Мособлдума_партии[[#This Row],[Число избирателей, внесенных в список на момент окончания голосования]]</f>
        <v>1158</v>
      </c>
      <c r="J79">
        <v>1200</v>
      </c>
      <c r="K79" s="1"/>
      <c r="L79">
        <v>610</v>
      </c>
      <c r="M79">
        <v>25</v>
      </c>
      <c r="N79" s="3">
        <f t="shared" si="36"/>
        <v>54.835924006908463</v>
      </c>
      <c r="O79" s="3">
        <f t="shared" si="37"/>
        <v>2.1588946459412779</v>
      </c>
      <c r="P79">
        <v>565</v>
      </c>
      <c r="Q79">
        <v>25</v>
      </c>
      <c r="R79">
        <v>610</v>
      </c>
      <c r="S79" s="1">
        <f t="shared" si="38"/>
        <v>635</v>
      </c>
      <c r="T79" s="3">
        <f t="shared" si="39"/>
        <v>3.9370078740157481</v>
      </c>
      <c r="U79">
        <v>41</v>
      </c>
      <c r="V79" s="3">
        <f t="shared" si="40"/>
        <v>6.4566929133858268</v>
      </c>
      <c r="W79">
        <v>594</v>
      </c>
      <c r="X79">
        <v>0</v>
      </c>
      <c r="Y79">
        <v>0</v>
      </c>
      <c r="Z79">
        <v>12</v>
      </c>
      <c r="AA79" s="3">
        <f t="shared" si="41"/>
        <v>1.889763779527559</v>
      </c>
      <c r="AB79">
        <v>54</v>
      </c>
      <c r="AC79" s="3">
        <f t="shared" si="42"/>
        <v>8.5039370078740166</v>
      </c>
      <c r="AD79">
        <v>20</v>
      </c>
      <c r="AE79" s="3">
        <f t="shared" si="43"/>
        <v>3.1496062992125986</v>
      </c>
      <c r="AF79">
        <v>30</v>
      </c>
      <c r="AG79" s="3">
        <f t="shared" si="44"/>
        <v>4.7244094488188972</v>
      </c>
      <c r="AH79">
        <v>117</v>
      </c>
      <c r="AI79" s="3">
        <f t="shared" si="45"/>
        <v>18.4251968503937</v>
      </c>
      <c r="AJ79">
        <v>307</v>
      </c>
      <c r="AK79" s="3">
        <f t="shared" si="46"/>
        <v>48.346456692913385</v>
      </c>
      <c r="AL79">
        <v>7</v>
      </c>
      <c r="AM79" s="3">
        <f t="shared" si="47"/>
        <v>1.1023622047244095</v>
      </c>
      <c r="AN79">
        <v>4</v>
      </c>
      <c r="AO79" s="3">
        <f t="shared" si="48"/>
        <v>0.62992125984251968</v>
      </c>
      <c r="AP79">
        <v>14</v>
      </c>
      <c r="AQ79" s="3">
        <f t="shared" si="49"/>
        <v>2.204724409448819</v>
      </c>
      <c r="AR79">
        <v>29</v>
      </c>
      <c r="AS79" s="3">
        <f t="shared" si="50"/>
        <v>4.5669291338582676</v>
      </c>
      <c r="AT79" t="s">
        <v>208</v>
      </c>
      <c r="AV79"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159.15151515151513</v>
      </c>
      <c r="AW79" s="13">
        <f>2*(Мособлдума_партии[[#This Row],[6. Всероссийская политическая партия "ЕДИНАЯ РОССИЯ"]]-(AA$124/100)*Мособлдума_партии[[#This Row],[Число действительных бюллетеней]])</f>
        <v>210.07999999999998</v>
      </c>
      <c r="AX79" s="13">
        <f>(Мособлдума_партии[[#This Row],[Вброс]]+Мособлдума_партии[[#This Row],[Перекладывание]])/2</f>
        <v>184.61575757575756</v>
      </c>
      <c r="AY79" s="13">
        <f>Дума_партии[[#This Row],[Зона ответственности в сен. 2022 г.]]</f>
        <v>0</v>
      </c>
    </row>
    <row r="80" spans="2:51" x14ac:dyDescent="0.4">
      <c r="B80" t="s">
        <v>74</v>
      </c>
      <c r="C80" t="s">
        <v>207</v>
      </c>
      <c r="D80" t="s">
        <v>102</v>
      </c>
      <c r="E80" t="s">
        <v>181</v>
      </c>
      <c r="F80" s="10">
        <f t="shared" ca="1" si="35"/>
        <v>1820</v>
      </c>
      <c r="G80" s="1" t="str">
        <f>Дума_партии[[#This Row],[Местоположение]]</f>
        <v>Веселево</v>
      </c>
      <c r="H80">
        <v>1099</v>
      </c>
      <c r="I80" s="10">
        <f>Мособлдума_партии[[#This Row],[Число избирателей, внесенных в список на момент окончания голосования]]</f>
        <v>1099</v>
      </c>
      <c r="J80">
        <v>1100</v>
      </c>
      <c r="K80" s="1"/>
      <c r="L80">
        <v>442</v>
      </c>
      <c r="M80">
        <v>201</v>
      </c>
      <c r="N80" s="3">
        <f t="shared" si="36"/>
        <v>58.507734303912649</v>
      </c>
      <c r="O80" s="3">
        <f t="shared" si="37"/>
        <v>18.289353958143767</v>
      </c>
      <c r="P80">
        <v>457</v>
      </c>
      <c r="Q80">
        <v>201</v>
      </c>
      <c r="R80">
        <v>442</v>
      </c>
      <c r="S80" s="1">
        <f t="shared" si="38"/>
        <v>643</v>
      </c>
      <c r="T80" s="3">
        <f t="shared" si="39"/>
        <v>31.259720062208398</v>
      </c>
      <c r="U80">
        <v>25</v>
      </c>
      <c r="V80" s="3">
        <f t="shared" si="40"/>
        <v>3.8880248833592534</v>
      </c>
      <c r="W80">
        <v>618</v>
      </c>
      <c r="X80">
        <v>0</v>
      </c>
      <c r="Y80">
        <v>0</v>
      </c>
      <c r="Z80">
        <v>10</v>
      </c>
      <c r="AA80" s="3">
        <f t="shared" si="41"/>
        <v>1.5552099533437014</v>
      </c>
      <c r="AB80">
        <v>66</v>
      </c>
      <c r="AC80" s="3">
        <f t="shared" si="42"/>
        <v>10.26438569206843</v>
      </c>
      <c r="AD80">
        <v>25</v>
      </c>
      <c r="AE80" s="3">
        <f t="shared" si="43"/>
        <v>3.8880248833592534</v>
      </c>
      <c r="AF80">
        <v>37</v>
      </c>
      <c r="AG80" s="3">
        <f t="shared" si="44"/>
        <v>5.7542768273716955</v>
      </c>
      <c r="AH80">
        <v>115</v>
      </c>
      <c r="AI80" s="3">
        <f t="shared" si="45"/>
        <v>17.884914463452567</v>
      </c>
      <c r="AJ80">
        <v>306</v>
      </c>
      <c r="AK80" s="3">
        <f t="shared" si="46"/>
        <v>47.589424572317263</v>
      </c>
      <c r="AL80">
        <v>7</v>
      </c>
      <c r="AM80" s="3">
        <f t="shared" si="47"/>
        <v>1.088646967340591</v>
      </c>
      <c r="AN80">
        <v>6</v>
      </c>
      <c r="AO80" s="3">
        <f t="shared" si="48"/>
        <v>0.93312597200622083</v>
      </c>
      <c r="AP80">
        <v>11</v>
      </c>
      <c r="AQ80" s="3">
        <f t="shared" si="49"/>
        <v>1.7107309486780715</v>
      </c>
      <c r="AR80">
        <v>35</v>
      </c>
      <c r="AS80" s="3">
        <f t="shared" si="50"/>
        <v>5.4432348367029553</v>
      </c>
      <c r="AT80" t="s">
        <v>208</v>
      </c>
      <c r="AV80"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145.27272727272725</v>
      </c>
      <c r="AW80" s="13">
        <f>2*(Мособлдума_партии[[#This Row],[6. Всероссийская политическая партия "ЕДИНАЯ РОССИЯ"]]-(AA$124/100)*Мособлдума_партии[[#This Row],[Число действительных бюллетеней]])</f>
        <v>191.76</v>
      </c>
      <c r="AX80" s="13">
        <f>(Мособлдума_партии[[#This Row],[Вброс]]+Мособлдума_партии[[#This Row],[Перекладывание]])/2</f>
        <v>168.51636363636362</v>
      </c>
      <c r="AY80" s="13">
        <f>Дума_партии[[#This Row],[Зона ответственности в сен. 2022 г.]]</f>
        <v>0</v>
      </c>
    </row>
    <row r="81" spans="2:51" x14ac:dyDescent="0.4">
      <c r="B81" t="s">
        <v>74</v>
      </c>
      <c r="C81" t="s">
        <v>207</v>
      </c>
      <c r="D81" t="s">
        <v>102</v>
      </c>
      <c r="E81" t="s">
        <v>182</v>
      </c>
      <c r="F81" s="10">
        <f t="shared" ca="1" si="35"/>
        <v>1821</v>
      </c>
      <c r="G81" s="1" t="str">
        <f>Дума_партии[[#This Row],[Местоположение]]</f>
        <v>Шустиково</v>
      </c>
      <c r="H81">
        <v>461</v>
      </c>
      <c r="I81" s="10">
        <f>Мособлдума_партии[[#This Row],[Число избирателей, внесенных в список на момент окончания голосования]]</f>
        <v>461</v>
      </c>
      <c r="J81">
        <v>500</v>
      </c>
      <c r="K81" s="1"/>
      <c r="L81">
        <v>174</v>
      </c>
      <c r="M81">
        <v>164</v>
      </c>
      <c r="N81" s="3">
        <f t="shared" si="36"/>
        <v>73.318872017353584</v>
      </c>
      <c r="O81" s="3">
        <f t="shared" si="37"/>
        <v>35.574837310195228</v>
      </c>
      <c r="P81">
        <v>162</v>
      </c>
      <c r="Q81">
        <v>164</v>
      </c>
      <c r="R81">
        <v>174</v>
      </c>
      <c r="S81" s="1">
        <f t="shared" si="38"/>
        <v>338</v>
      </c>
      <c r="T81" s="3">
        <f t="shared" si="39"/>
        <v>48.520710059171599</v>
      </c>
      <c r="U81">
        <v>21</v>
      </c>
      <c r="V81" s="3">
        <f t="shared" si="40"/>
        <v>6.2130177514792901</v>
      </c>
      <c r="W81">
        <v>317</v>
      </c>
      <c r="X81">
        <v>0</v>
      </c>
      <c r="Y81">
        <v>0</v>
      </c>
      <c r="Z81">
        <v>3</v>
      </c>
      <c r="AA81" s="3">
        <f t="shared" si="41"/>
        <v>0.8875739644970414</v>
      </c>
      <c r="AB81">
        <v>24</v>
      </c>
      <c r="AC81" s="3">
        <f t="shared" si="42"/>
        <v>7.1005917159763312</v>
      </c>
      <c r="AD81">
        <v>6</v>
      </c>
      <c r="AE81" s="3">
        <f t="shared" si="43"/>
        <v>1.7751479289940828</v>
      </c>
      <c r="AF81">
        <v>12</v>
      </c>
      <c r="AG81" s="3">
        <f t="shared" si="44"/>
        <v>3.5502958579881656</v>
      </c>
      <c r="AH81">
        <v>46</v>
      </c>
      <c r="AI81" s="3">
        <f t="shared" si="45"/>
        <v>13.609467455621301</v>
      </c>
      <c r="AJ81">
        <v>198</v>
      </c>
      <c r="AK81" s="3">
        <f t="shared" si="46"/>
        <v>58.579881656804737</v>
      </c>
      <c r="AL81">
        <v>2</v>
      </c>
      <c r="AM81" s="3">
        <f t="shared" si="47"/>
        <v>0.59171597633136097</v>
      </c>
      <c r="AN81">
        <v>0</v>
      </c>
      <c r="AO81" s="3">
        <f t="shared" si="48"/>
        <v>0</v>
      </c>
      <c r="AP81">
        <v>10</v>
      </c>
      <c r="AQ81" s="3">
        <f t="shared" si="49"/>
        <v>2.9585798816568047</v>
      </c>
      <c r="AR81">
        <v>16</v>
      </c>
      <c r="AS81" s="3">
        <f t="shared" si="50"/>
        <v>4.7337278106508878</v>
      </c>
      <c r="AT81" t="s">
        <v>208</v>
      </c>
      <c r="AV81"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136.69696969696969</v>
      </c>
      <c r="AW81" s="13">
        <f>2*(Мособлдума_партии[[#This Row],[6. Всероссийская политическая партия "ЕДИНАЯ РОССИЯ"]]-(AA$124/100)*Мособлдума_партии[[#This Row],[Число действительных бюллетеней]])</f>
        <v>180.44</v>
      </c>
      <c r="AX81" s="13">
        <f>(Мособлдума_партии[[#This Row],[Вброс]]+Мособлдума_партии[[#This Row],[Перекладывание]])/2</f>
        <v>158.56848484848484</v>
      </c>
      <c r="AY81" s="13">
        <f>Дума_партии[[#This Row],[Зона ответственности в сен. 2022 г.]]</f>
        <v>0</v>
      </c>
    </row>
    <row r="82" spans="2:51" x14ac:dyDescent="0.4">
      <c r="B82" t="s">
        <v>74</v>
      </c>
      <c r="C82" t="s">
        <v>207</v>
      </c>
      <c r="D82" t="s">
        <v>102</v>
      </c>
      <c r="E82" t="s">
        <v>183</v>
      </c>
      <c r="F82" s="10">
        <f t="shared" ca="1" si="35"/>
        <v>1822</v>
      </c>
      <c r="G82" s="1" t="str">
        <f>Дума_партии[[#This Row],[Местоположение]]</f>
        <v>Волчёнки</v>
      </c>
      <c r="H82">
        <v>731</v>
      </c>
      <c r="I82" s="10">
        <f>Мособлдума_партии[[#This Row],[Число избирателей, внесенных в список на момент окончания голосования]]</f>
        <v>731</v>
      </c>
      <c r="J82">
        <v>700</v>
      </c>
      <c r="K82" s="1"/>
      <c r="L82">
        <v>330</v>
      </c>
      <c r="M82">
        <v>59</v>
      </c>
      <c r="N82" s="3">
        <f t="shared" si="36"/>
        <v>53.214774281805745</v>
      </c>
      <c r="O82" s="3">
        <f t="shared" si="37"/>
        <v>8.0711354309165522</v>
      </c>
      <c r="P82">
        <v>311</v>
      </c>
      <c r="Q82">
        <v>59</v>
      </c>
      <c r="R82">
        <v>328</v>
      </c>
      <c r="S82" s="1">
        <f t="shared" si="38"/>
        <v>387</v>
      </c>
      <c r="T82" s="3">
        <f t="shared" si="39"/>
        <v>15.24547803617571</v>
      </c>
      <c r="U82">
        <v>26</v>
      </c>
      <c r="V82" s="3">
        <f t="shared" si="40"/>
        <v>6.7183462532299743</v>
      </c>
      <c r="W82">
        <v>361</v>
      </c>
      <c r="X82">
        <v>0</v>
      </c>
      <c r="Y82">
        <v>0</v>
      </c>
      <c r="Z82">
        <v>4</v>
      </c>
      <c r="AA82" s="3">
        <f t="shared" si="41"/>
        <v>1.0335917312661498</v>
      </c>
      <c r="AB82">
        <v>47</v>
      </c>
      <c r="AC82" s="3">
        <f t="shared" si="42"/>
        <v>12.144702842377262</v>
      </c>
      <c r="AD82">
        <v>15</v>
      </c>
      <c r="AE82" s="3">
        <f t="shared" si="43"/>
        <v>3.8759689922480618</v>
      </c>
      <c r="AF82">
        <v>25</v>
      </c>
      <c r="AG82" s="3">
        <f t="shared" si="44"/>
        <v>6.4599483204134369</v>
      </c>
      <c r="AH82">
        <v>99</v>
      </c>
      <c r="AI82" s="3">
        <f t="shared" si="45"/>
        <v>25.581395348837209</v>
      </c>
      <c r="AJ82">
        <v>127</v>
      </c>
      <c r="AK82" s="3">
        <f t="shared" si="46"/>
        <v>32.816537467700257</v>
      </c>
      <c r="AL82">
        <v>5</v>
      </c>
      <c r="AM82" s="3">
        <f t="shared" si="47"/>
        <v>1.2919896640826873</v>
      </c>
      <c r="AN82">
        <v>4</v>
      </c>
      <c r="AO82" s="3">
        <f t="shared" si="48"/>
        <v>1.0335917312661498</v>
      </c>
      <c r="AP82">
        <v>16</v>
      </c>
      <c r="AQ82" s="3">
        <f t="shared" si="49"/>
        <v>4.1343669250645991</v>
      </c>
      <c r="AR82">
        <v>19</v>
      </c>
      <c r="AS82" s="3">
        <f t="shared" si="50"/>
        <v>4.909560723514212</v>
      </c>
      <c r="AT82" t="s">
        <v>208</v>
      </c>
      <c r="AV82"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6.4545454545454248</v>
      </c>
      <c r="AW82" s="13">
        <f>2*(Мособлдума_партии[[#This Row],[6. Всероссийская политическая партия "ЕДИНАЯ РОССИЯ"]]-(AA$124/100)*Мособлдума_партии[[#This Row],[Число действительных бюллетеней]])</f>
        <v>8.5199999999999818</v>
      </c>
      <c r="AX82" s="13">
        <f>(Мособлдума_партии[[#This Row],[Вброс]]+Мособлдума_партии[[#This Row],[Перекладывание]])/2</f>
        <v>7.4872727272727033</v>
      </c>
      <c r="AY82" s="13">
        <f>Дума_партии[[#This Row],[Зона ответственности в сен. 2022 г.]]</f>
        <v>0</v>
      </c>
    </row>
    <row r="83" spans="2:51" x14ac:dyDescent="0.4">
      <c r="B83" t="s">
        <v>74</v>
      </c>
      <c r="C83" t="s">
        <v>207</v>
      </c>
      <c r="D83" t="s">
        <v>102</v>
      </c>
      <c r="E83" t="s">
        <v>184</v>
      </c>
      <c r="F83" s="10">
        <f t="shared" ca="1" si="35"/>
        <v>1823</v>
      </c>
      <c r="G83" s="1" t="str">
        <f>Дума_партии[[#This Row],[Местоположение]]</f>
        <v>Устье</v>
      </c>
      <c r="H83">
        <v>663</v>
      </c>
      <c r="I83" s="10">
        <f>Мособлдума_партии[[#This Row],[Число избирателей, внесенных в список на момент окончания голосования]]</f>
        <v>663</v>
      </c>
      <c r="J83">
        <v>600</v>
      </c>
      <c r="K83" s="1"/>
      <c r="L83">
        <v>264</v>
      </c>
      <c r="M83">
        <v>56</v>
      </c>
      <c r="N83" s="3">
        <f t="shared" si="36"/>
        <v>48.265460030165912</v>
      </c>
      <c r="O83" s="3">
        <f t="shared" si="37"/>
        <v>8.4464555052790349</v>
      </c>
      <c r="P83">
        <v>280</v>
      </c>
      <c r="Q83">
        <v>56</v>
      </c>
      <c r="R83">
        <v>264</v>
      </c>
      <c r="S83" s="1">
        <f t="shared" si="38"/>
        <v>320</v>
      </c>
      <c r="T83" s="3">
        <f t="shared" si="39"/>
        <v>17.5</v>
      </c>
      <c r="U83">
        <v>16</v>
      </c>
      <c r="V83" s="3">
        <f t="shared" si="40"/>
        <v>5</v>
      </c>
      <c r="W83">
        <v>304</v>
      </c>
      <c r="X83">
        <v>0</v>
      </c>
      <c r="Y83">
        <v>0</v>
      </c>
      <c r="Z83">
        <v>5</v>
      </c>
      <c r="AA83" s="3">
        <f t="shared" si="41"/>
        <v>1.5625</v>
      </c>
      <c r="AB83">
        <v>34</v>
      </c>
      <c r="AC83" s="3">
        <f t="shared" si="42"/>
        <v>10.625</v>
      </c>
      <c r="AD83">
        <v>23</v>
      </c>
      <c r="AE83" s="3">
        <f t="shared" si="43"/>
        <v>7.1875</v>
      </c>
      <c r="AF83">
        <v>20</v>
      </c>
      <c r="AG83" s="3">
        <f t="shared" si="44"/>
        <v>6.25</v>
      </c>
      <c r="AH83">
        <v>56</v>
      </c>
      <c r="AI83" s="3">
        <f t="shared" si="45"/>
        <v>17.5</v>
      </c>
      <c r="AJ83">
        <v>139</v>
      </c>
      <c r="AK83" s="3">
        <f t="shared" si="46"/>
        <v>43.4375</v>
      </c>
      <c r="AL83">
        <v>1</v>
      </c>
      <c r="AM83" s="3">
        <f t="shared" si="47"/>
        <v>0.3125</v>
      </c>
      <c r="AN83">
        <v>0</v>
      </c>
      <c r="AO83" s="3">
        <f t="shared" si="48"/>
        <v>0</v>
      </c>
      <c r="AP83">
        <v>9</v>
      </c>
      <c r="AQ83" s="3">
        <f t="shared" si="49"/>
        <v>2.8125</v>
      </c>
      <c r="AR83">
        <v>17</v>
      </c>
      <c r="AS83" s="3">
        <f t="shared" si="50"/>
        <v>5.3125</v>
      </c>
      <c r="AT83" t="s">
        <v>208</v>
      </c>
      <c r="AV83"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53.999999999999986</v>
      </c>
      <c r="AW83" s="13">
        <f>2*(Мособлдума_партии[[#This Row],[6. Всероссийская политическая партия "ЕДИНАЯ РОССИЯ"]]-(AA$124/100)*Мособлдума_партии[[#This Row],[Число действительных бюллетеней]])</f>
        <v>71.279999999999973</v>
      </c>
      <c r="AX83" s="13">
        <f>(Мособлдума_партии[[#This Row],[Вброс]]+Мособлдума_партии[[#This Row],[Перекладывание]])/2</f>
        <v>62.639999999999979</v>
      </c>
      <c r="AY83" s="13">
        <f>Дума_партии[[#This Row],[Зона ответственности в сен. 2022 г.]]</f>
        <v>0</v>
      </c>
    </row>
    <row r="84" spans="2:51" x14ac:dyDescent="0.4">
      <c r="B84" t="s">
        <v>74</v>
      </c>
      <c r="C84" t="s">
        <v>207</v>
      </c>
      <c r="D84" t="s">
        <v>102</v>
      </c>
      <c r="E84" t="s">
        <v>185</v>
      </c>
      <c r="F84" s="10">
        <f t="shared" ca="1" si="35"/>
        <v>1824</v>
      </c>
      <c r="G84" s="1" t="str">
        <f>Дума_партии[[#This Row],[Местоположение]]</f>
        <v>пос. свх. Архангельский</v>
      </c>
      <c r="H84">
        <v>1093</v>
      </c>
      <c r="I84" s="10">
        <f>Мособлдума_партии[[#This Row],[Число избирателей, внесенных в список на момент окончания голосования]]</f>
        <v>1093</v>
      </c>
      <c r="J84">
        <v>1100</v>
      </c>
      <c r="K84" s="1"/>
      <c r="L84">
        <v>423</v>
      </c>
      <c r="M84">
        <v>72</v>
      </c>
      <c r="N84" s="3">
        <f t="shared" si="36"/>
        <v>45.288197621225983</v>
      </c>
      <c r="O84" s="3">
        <f t="shared" si="37"/>
        <v>6.5873741994510517</v>
      </c>
      <c r="P84">
        <v>605</v>
      </c>
      <c r="Q84">
        <v>72</v>
      </c>
      <c r="R84">
        <v>423</v>
      </c>
      <c r="S84" s="1">
        <f t="shared" si="38"/>
        <v>495</v>
      </c>
      <c r="T84" s="3">
        <f t="shared" si="39"/>
        <v>14.545454545454545</v>
      </c>
      <c r="U84">
        <v>5</v>
      </c>
      <c r="V84" s="3">
        <f t="shared" si="40"/>
        <v>1.0101010101010102</v>
      </c>
      <c r="W84">
        <v>490</v>
      </c>
      <c r="X84">
        <v>0</v>
      </c>
      <c r="Y84">
        <v>0</v>
      </c>
      <c r="Z84">
        <v>2</v>
      </c>
      <c r="AA84" s="3">
        <f t="shared" si="41"/>
        <v>0.40404040404040403</v>
      </c>
      <c r="AB84">
        <v>12</v>
      </c>
      <c r="AC84" s="3">
        <f t="shared" si="42"/>
        <v>2.4242424242424243</v>
      </c>
      <c r="AD84">
        <v>6</v>
      </c>
      <c r="AE84" s="3">
        <f t="shared" si="43"/>
        <v>1.2121212121212122</v>
      </c>
      <c r="AF84">
        <v>13</v>
      </c>
      <c r="AG84" s="3">
        <f t="shared" si="44"/>
        <v>2.6262626262626263</v>
      </c>
      <c r="AH84">
        <v>43</v>
      </c>
      <c r="AI84" s="3">
        <f t="shared" si="45"/>
        <v>8.6868686868686869</v>
      </c>
      <c r="AJ84">
        <v>398</v>
      </c>
      <c r="AK84" s="3">
        <f t="shared" si="46"/>
        <v>80.404040404040401</v>
      </c>
      <c r="AL84">
        <v>4</v>
      </c>
      <c r="AM84" s="3">
        <f t="shared" si="47"/>
        <v>0.80808080808080807</v>
      </c>
      <c r="AN84">
        <v>4</v>
      </c>
      <c r="AO84" s="3">
        <f t="shared" si="48"/>
        <v>0.80808080808080807</v>
      </c>
      <c r="AP84">
        <v>4</v>
      </c>
      <c r="AQ84" s="3">
        <f t="shared" si="49"/>
        <v>0.80808080808080807</v>
      </c>
      <c r="AR84">
        <v>4</v>
      </c>
      <c r="AS84" s="3">
        <f t="shared" si="50"/>
        <v>0.80808080808080807</v>
      </c>
      <c r="AT84" t="s">
        <v>208</v>
      </c>
      <c r="AV84"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350.60606060606062</v>
      </c>
      <c r="AW84" s="13">
        <f>2*(Мособлдума_партии[[#This Row],[6. Всероссийская политическая партия "ЕДИНАЯ РОССИЯ"]]-(AA$124/100)*Мособлдума_партии[[#This Row],[Число действительных бюллетеней]])</f>
        <v>462.79999999999995</v>
      </c>
      <c r="AX84" s="13">
        <f>(Мособлдума_партии[[#This Row],[Вброс]]+Мособлдума_партии[[#This Row],[Перекладывание]])/2</f>
        <v>406.70303030303029</v>
      </c>
      <c r="AY84" s="13">
        <f>Дума_партии[[#This Row],[Зона ответственности в сен. 2022 г.]]</f>
        <v>0</v>
      </c>
    </row>
    <row r="85" spans="2:51" x14ac:dyDescent="0.4">
      <c r="B85" t="s">
        <v>74</v>
      </c>
      <c r="C85" t="s">
        <v>207</v>
      </c>
      <c r="D85" t="s">
        <v>102</v>
      </c>
      <c r="E85" t="s">
        <v>186</v>
      </c>
      <c r="F85" s="10">
        <f t="shared" ca="1" si="35"/>
        <v>1825</v>
      </c>
      <c r="G85" s="1" t="str">
        <f>Дума_партии[[#This Row],[Местоположение]]</f>
        <v>Таширово</v>
      </c>
      <c r="H85">
        <v>2082</v>
      </c>
      <c r="I85" s="10">
        <f>Мособлдума_партии[[#This Row],[Число избирателей, внесенных в список на момент окончания голосования]]</f>
        <v>2082</v>
      </c>
      <c r="J85">
        <v>2000</v>
      </c>
      <c r="K85" s="1"/>
      <c r="L85">
        <v>576</v>
      </c>
      <c r="M85">
        <v>97</v>
      </c>
      <c r="N85" s="3">
        <f t="shared" si="36"/>
        <v>32.324687800192123</v>
      </c>
      <c r="O85" s="3">
        <f t="shared" si="37"/>
        <v>4.658981748318924</v>
      </c>
      <c r="P85">
        <v>1327</v>
      </c>
      <c r="Q85">
        <v>97</v>
      </c>
      <c r="R85">
        <v>576</v>
      </c>
      <c r="S85" s="1">
        <f t="shared" si="38"/>
        <v>673</v>
      </c>
      <c r="T85" s="3">
        <f t="shared" si="39"/>
        <v>14.413075780089153</v>
      </c>
      <c r="U85">
        <v>27</v>
      </c>
      <c r="V85" s="3">
        <f t="shared" si="40"/>
        <v>4.0118870728083209</v>
      </c>
      <c r="W85">
        <v>646</v>
      </c>
      <c r="X85">
        <v>0</v>
      </c>
      <c r="Y85">
        <v>0</v>
      </c>
      <c r="Z85">
        <v>15</v>
      </c>
      <c r="AA85" s="3">
        <f t="shared" si="41"/>
        <v>2.2288261515601784</v>
      </c>
      <c r="AB85">
        <v>68</v>
      </c>
      <c r="AC85" s="3">
        <f t="shared" si="42"/>
        <v>10.104011887072808</v>
      </c>
      <c r="AD85">
        <v>46</v>
      </c>
      <c r="AE85" s="3">
        <f t="shared" si="43"/>
        <v>6.8350668647845465</v>
      </c>
      <c r="AF85">
        <v>43</v>
      </c>
      <c r="AG85" s="3">
        <f t="shared" si="44"/>
        <v>6.3893016344725115</v>
      </c>
      <c r="AH85">
        <v>156</v>
      </c>
      <c r="AI85" s="3">
        <f t="shared" si="45"/>
        <v>23.179791976225854</v>
      </c>
      <c r="AJ85">
        <v>228</v>
      </c>
      <c r="AK85" s="3">
        <f t="shared" si="46"/>
        <v>33.878157503714711</v>
      </c>
      <c r="AL85">
        <v>12</v>
      </c>
      <c r="AM85" s="3">
        <f t="shared" si="47"/>
        <v>1.7830609212481427</v>
      </c>
      <c r="AN85">
        <v>13</v>
      </c>
      <c r="AO85" s="3">
        <f t="shared" si="48"/>
        <v>1.9316493313521546</v>
      </c>
      <c r="AP85">
        <v>24</v>
      </c>
      <c r="AQ85" s="3">
        <f t="shared" si="49"/>
        <v>3.5661218424962855</v>
      </c>
      <c r="AR85">
        <v>41</v>
      </c>
      <c r="AS85" s="3">
        <f t="shared" si="50"/>
        <v>6.092124814264487</v>
      </c>
      <c r="AT85" t="s">
        <v>208</v>
      </c>
      <c r="AV85"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12.666666666666629</v>
      </c>
      <c r="AW85" s="13">
        <f>2*(Мособлдума_партии[[#This Row],[6. Всероссийская политическая партия "ЕДИНАЯ РОССИЯ"]]-(AA$124/100)*Мособлдума_партии[[#This Row],[Число действительных бюллетеней]])</f>
        <v>16.71999999999997</v>
      </c>
      <c r="AX85" s="13">
        <f>(Мособлдума_партии[[#This Row],[Вброс]]+Мособлдума_партии[[#This Row],[Перекладывание]])/2</f>
        <v>14.6933333333333</v>
      </c>
      <c r="AY85" s="13">
        <f>Дума_партии[[#This Row],[Зона ответственности в сен. 2022 г.]]</f>
        <v>0</v>
      </c>
    </row>
    <row r="86" spans="2:51" x14ac:dyDescent="0.4">
      <c r="B86" t="s">
        <v>74</v>
      </c>
      <c r="C86" t="s">
        <v>207</v>
      </c>
      <c r="D86" t="s">
        <v>102</v>
      </c>
      <c r="E86" t="s">
        <v>187</v>
      </c>
      <c r="F86" s="10">
        <f t="shared" ca="1" si="35"/>
        <v>1826</v>
      </c>
      <c r="G86" s="1" t="str">
        <f>Дума_партии[[#This Row],[Местоположение]]</f>
        <v>Васильчиново</v>
      </c>
      <c r="H86">
        <v>1265</v>
      </c>
      <c r="I86" s="10">
        <f>Мособлдума_партии[[#This Row],[Число избирателей, внесенных в список на момент окончания голосования]]</f>
        <v>1265</v>
      </c>
      <c r="J86">
        <v>1200</v>
      </c>
      <c r="K86" s="1"/>
      <c r="L86">
        <v>572</v>
      </c>
      <c r="M86">
        <v>49</v>
      </c>
      <c r="N86" s="3">
        <f t="shared" si="36"/>
        <v>49.090909090909093</v>
      </c>
      <c r="O86" s="3">
        <f t="shared" si="37"/>
        <v>3.8735177865612647</v>
      </c>
      <c r="P86">
        <v>579</v>
      </c>
      <c r="Q86">
        <v>49</v>
      </c>
      <c r="R86">
        <v>572</v>
      </c>
      <c r="S86" s="1">
        <f t="shared" si="38"/>
        <v>621</v>
      </c>
      <c r="T86" s="3">
        <f t="shared" si="39"/>
        <v>7.8904991948470213</v>
      </c>
      <c r="U86">
        <v>37</v>
      </c>
      <c r="V86" s="3">
        <f t="shared" si="40"/>
        <v>5.9581320450885666</v>
      </c>
      <c r="W86">
        <v>584</v>
      </c>
      <c r="X86">
        <v>0</v>
      </c>
      <c r="Y86">
        <v>0</v>
      </c>
      <c r="Z86">
        <v>11</v>
      </c>
      <c r="AA86" s="3">
        <f t="shared" si="41"/>
        <v>1.7713365539452497</v>
      </c>
      <c r="AB86">
        <v>55</v>
      </c>
      <c r="AC86" s="3">
        <f t="shared" si="42"/>
        <v>8.8566827697262482</v>
      </c>
      <c r="AD86">
        <v>37</v>
      </c>
      <c r="AE86" s="3">
        <f t="shared" si="43"/>
        <v>5.9581320450885666</v>
      </c>
      <c r="AF86">
        <v>45</v>
      </c>
      <c r="AG86" s="3">
        <f t="shared" si="44"/>
        <v>7.2463768115942031</v>
      </c>
      <c r="AH86">
        <v>108</v>
      </c>
      <c r="AI86" s="3">
        <f t="shared" si="45"/>
        <v>17.391304347826086</v>
      </c>
      <c r="AJ86">
        <v>261</v>
      </c>
      <c r="AK86" s="3">
        <f t="shared" si="46"/>
        <v>42.028985507246375</v>
      </c>
      <c r="AL86">
        <v>10</v>
      </c>
      <c r="AM86" s="3">
        <f t="shared" si="47"/>
        <v>1.6103059581320451</v>
      </c>
      <c r="AN86">
        <v>9</v>
      </c>
      <c r="AO86" s="3">
        <f t="shared" si="48"/>
        <v>1.4492753623188406</v>
      </c>
      <c r="AP86">
        <v>8</v>
      </c>
      <c r="AQ86" s="3">
        <f t="shared" si="49"/>
        <v>1.288244766505636</v>
      </c>
      <c r="AR86">
        <v>40</v>
      </c>
      <c r="AS86" s="3">
        <f t="shared" si="50"/>
        <v>6.4412238325281805</v>
      </c>
      <c r="AT86" t="s">
        <v>208</v>
      </c>
      <c r="AV86"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94.606060606060566</v>
      </c>
      <c r="AW86" s="13">
        <f>2*(Мособлдума_партии[[#This Row],[6. Всероссийская политическая партия "ЕДИНАЯ РОССИЯ"]]-(AA$124/100)*Мособлдума_партии[[#This Row],[Число действительных бюллетеней]])</f>
        <v>124.88</v>
      </c>
      <c r="AX86" s="13">
        <f>(Мособлдума_партии[[#This Row],[Вброс]]+Мособлдума_партии[[#This Row],[Перекладывание]])/2</f>
        <v>109.74303030303028</v>
      </c>
      <c r="AY86" s="13">
        <f>Дума_партии[[#This Row],[Зона ответственности в сен. 2022 г.]]</f>
        <v>0</v>
      </c>
    </row>
    <row r="87" spans="2:51" x14ac:dyDescent="0.4">
      <c r="B87" t="s">
        <v>74</v>
      </c>
      <c r="C87" t="s">
        <v>207</v>
      </c>
      <c r="D87" t="s">
        <v>102</v>
      </c>
      <c r="E87" t="s">
        <v>188</v>
      </c>
      <c r="F87" s="10">
        <f t="shared" ca="1" si="35"/>
        <v>1827</v>
      </c>
      <c r="G87" s="1" t="str">
        <f>Дума_партии[[#This Row],[Местоположение]]</f>
        <v>Таширово</v>
      </c>
      <c r="H87">
        <v>576</v>
      </c>
      <c r="I87" s="10">
        <f>Мособлдума_партии[[#This Row],[Число избирателей, внесенных в список на момент окончания голосования]]</f>
        <v>576</v>
      </c>
      <c r="J87">
        <v>500</v>
      </c>
      <c r="K87" s="1"/>
      <c r="L87">
        <v>148</v>
      </c>
      <c r="M87">
        <v>130</v>
      </c>
      <c r="N87" s="3">
        <f t="shared" si="36"/>
        <v>48.263888888888886</v>
      </c>
      <c r="O87" s="3">
        <f t="shared" si="37"/>
        <v>22.569444444444443</v>
      </c>
      <c r="P87">
        <v>222</v>
      </c>
      <c r="Q87">
        <v>130</v>
      </c>
      <c r="R87">
        <v>148</v>
      </c>
      <c r="S87" s="1">
        <f t="shared" si="38"/>
        <v>278</v>
      </c>
      <c r="T87" s="3">
        <f t="shared" si="39"/>
        <v>46.762589928057551</v>
      </c>
      <c r="U87">
        <v>8</v>
      </c>
      <c r="V87" s="3">
        <f t="shared" si="40"/>
        <v>2.8776978417266186</v>
      </c>
      <c r="W87">
        <v>270</v>
      </c>
      <c r="X87">
        <v>0</v>
      </c>
      <c r="Y87">
        <v>0</v>
      </c>
      <c r="Z87">
        <v>3</v>
      </c>
      <c r="AA87" s="3">
        <f t="shared" si="41"/>
        <v>1.079136690647482</v>
      </c>
      <c r="AB87">
        <v>19</v>
      </c>
      <c r="AC87" s="3">
        <f t="shared" si="42"/>
        <v>6.8345323741007196</v>
      </c>
      <c r="AD87">
        <v>11</v>
      </c>
      <c r="AE87" s="3">
        <f t="shared" si="43"/>
        <v>3.9568345323741005</v>
      </c>
      <c r="AF87">
        <v>16</v>
      </c>
      <c r="AG87" s="3">
        <f t="shared" si="44"/>
        <v>5.7553956834532372</v>
      </c>
      <c r="AH87">
        <v>56</v>
      </c>
      <c r="AI87" s="3">
        <f t="shared" si="45"/>
        <v>20.14388489208633</v>
      </c>
      <c r="AJ87">
        <v>145</v>
      </c>
      <c r="AK87" s="3">
        <f t="shared" si="46"/>
        <v>52.158273381294961</v>
      </c>
      <c r="AL87">
        <v>4</v>
      </c>
      <c r="AM87" s="3">
        <f t="shared" si="47"/>
        <v>1.4388489208633093</v>
      </c>
      <c r="AN87">
        <v>4</v>
      </c>
      <c r="AO87" s="3">
        <f t="shared" si="48"/>
        <v>1.4388489208633093</v>
      </c>
      <c r="AP87">
        <v>2</v>
      </c>
      <c r="AQ87" s="3">
        <f t="shared" si="49"/>
        <v>0.71942446043165464</v>
      </c>
      <c r="AR87">
        <v>10</v>
      </c>
      <c r="AS87" s="3">
        <f t="shared" si="50"/>
        <v>3.5971223021582732</v>
      </c>
      <c r="AT87" t="s">
        <v>208</v>
      </c>
      <c r="AV87"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80.606060606060595</v>
      </c>
      <c r="AW87" s="13">
        <f>2*(Мособлдума_партии[[#This Row],[6. Всероссийская политическая партия "ЕДИНАЯ РОССИЯ"]]-(AA$124/100)*Мособлдума_партии[[#This Row],[Число действительных бюллетеней]])</f>
        <v>106.39999999999998</v>
      </c>
      <c r="AX87" s="13">
        <f>(Мособлдума_партии[[#This Row],[Вброс]]+Мособлдума_партии[[#This Row],[Перекладывание]])/2</f>
        <v>93.503030303030286</v>
      </c>
      <c r="AY87" s="13">
        <f>Дума_партии[[#This Row],[Зона ответственности в сен. 2022 г.]]</f>
        <v>0</v>
      </c>
    </row>
    <row r="88" spans="2:51" x14ac:dyDescent="0.4">
      <c r="B88" t="s">
        <v>74</v>
      </c>
      <c r="C88" t="s">
        <v>207</v>
      </c>
      <c r="D88" t="s">
        <v>102</v>
      </c>
      <c r="E88" t="s">
        <v>189</v>
      </c>
      <c r="F88" s="10">
        <f t="shared" ca="1" si="35"/>
        <v>1828</v>
      </c>
      <c r="G88" s="1" t="str">
        <f>Дума_партии[[#This Row],[Местоположение]]</f>
        <v>Головково</v>
      </c>
      <c r="H88">
        <v>1208</v>
      </c>
      <c r="I88" s="10">
        <f>Мособлдума_партии[[#This Row],[Число избирателей, внесенных в список на момент окончания голосования]]</f>
        <v>1208</v>
      </c>
      <c r="J88">
        <v>1200</v>
      </c>
      <c r="K88" s="1"/>
      <c r="L88">
        <v>450</v>
      </c>
      <c r="M88">
        <v>170</v>
      </c>
      <c r="N88" s="3">
        <f t="shared" si="36"/>
        <v>51.324503311258276</v>
      </c>
      <c r="O88" s="3">
        <f t="shared" si="37"/>
        <v>14.072847682119205</v>
      </c>
      <c r="P88">
        <v>580</v>
      </c>
      <c r="Q88">
        <v>170</v>
      </c>
      <c r="R88">
        <v>450</v>
      </c>
      <c r="S88" s="1">
        <f t="shared" si="38"/>
        <v>620</v>
      </c>
      <c r="T88" s="3">
        <f t="shared" si="39"/>
        <v>27.419354838709676</v>
      </c>
      <c r="U88">
        <v>27</v>
      </c>
      <c r="V88" s="3">
        <f t="shared" si="40"/>
        <v>4.354838709677419</v>
      </c>
      <c r="W88">
        <v>593</v>
      </c>
      <c r="X88">
        <v>0</v>
      </c>
      <c r="Y88">
        <v>0</v>
      </c>
      <c r="Z88">
        <v>10</v>
      </c>
      <c r="AA88" s="3">
        <f t="shared" si="41"/>
        <v>1.6129032258064515</v>
      </c>
      <c r="AB88">
        <v>61</v>
      </c>
      <c r="AC88" s="3">
        <f t="shared" si="42"/>
        <v>9.8387096774193541</v>
      </c>
      <c r="AD88">
        <v>33</v>
      </c>
      <c r="AE88" s="3">
        <f t="shared" si="43"/>
        <v>5.32258064516129</v>
      </c>
      <c r="AF88">
        <v>37</v>
      </c>
      <c r="AG88" s="3">
        <f t="shared" si="44"/>
        <v>5.967741935483871</v>
      </c>
      <c r="AH88">
        <v>119</v>
      </c>
      <c r="AI88" s="3">
        <f t="shared" si="45"/>
        <v>19.193548387096776</v>
      </c>
      <c r="AJ88">
        <v>265</v>
      </c>
      <c r="AK88" s="3">
        <f t="shared" si="46"/>
        <v>42.741935483870968</v>
      </c>
      <c r="AL88">
        <v>7</v>
      </c>
      <c r="AM88" s="3">
        <f t="shared" si="47"/>
        <v>1.1290322580645162</v>
      </c>
      <c r="AN88">
        <v>9</v>
      </c>
      <c r="AO88" s="3">
        <f t="shared" si="48"/>
        <v>1.4516129032258065</v>
      </c>
      <c r="AP88">
        <v>16</v>
      </c>
      <c r="AQ88" s="3">
        <f t="shared" si="49"/>
        <v>2.5806451612903225</v>
      </c>
      <c r="AR88">
        <v>36</v>
      </c>
      <c r="AS88" s="3">
        <f t="shared" si="50"/>
        <v>5.806451612903226</v>
      </c>
      <c r="AT88" t="s">
        <v>208</v>
      </c>
      <c r="AV88"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96.030303030303003</v>
      </c>
      <c r="AW88" s="13">
        <f>2*(Мособлдума_партии[[#This Row],[6. Всероссийская политическая партия "ЕДИНАЯ РОССИЯ"]]-(AA$124/100)*Мособлдума_партии[[#This Row],[Число действительных бюллетеней]])</f>
        <v>126.75999999999999</v>
      </c>
      <c r="AX88" s="13">
        <f>(Мособлдума_партии[[#This Row],[Вброс]]+Мособлдума_партии[[#This Row],[Перекладывание]])/2</f>
        <v>111.3951515151515</v>
      </c>
      <c r="AY88" s="13">
        <f>Дума_партии[[#This Row],[Зона ответственности в сен. 2022 г.]]</f>
        <v>0</v>
      </c>
    </row>
    <row r="89" spans="2:51" x14ac:dyDescent="0.4">
      <c r="B89" t="s">
        <v>74</v>
      </c>
      <c r="C89" t="s">
        <v>207</v>
      </c>
      <c r="D89" t="s">
        <v>102</v>
      </c>
      <c r="E89" t="s">
        <v>190</v>
      </c>
      <c r="F89" s="10">
        <f t="shared" ca="1" si="35"/>
        <v>3873</v>
      </c>
      <c r="G89" s="1" t="str">
        <f>Дума_партии[[#This Row],[Местоположение]]</f>
        <v>Наро-Фоминск</v>
      </c>
      <c r="H89">
        <v>1548</v>
      </c>
      <c r="I89" s="10">
        <f>Мособлдума_партии[[#This Row],[Число избирателей, внесенных в список на момент окончания голосования]]</f>
        <v>1548</v>
      </c>
      <c r="J89">
        <v>1500</v>
      </c>
      <c r="K89" s="1"/>
      <c r="L89">
        <v>538</v>
      </c>
      <c r="M89">
        <v>12</v>
      </c>
      <c r="N89" s="3">
        <f t="shared" si="36"/>
        <v>35.529715762273902</v>
      </c>
      <c r="O89" s="3">
        <f t="shared" si="37"/>
        <v>0.77519379844961245</v>
      </c>
      <c r="P89">
        <v>950</v>
      </c>
      <c r="Q89">
        <v>12</v>
      </c>
      <c r="R89">
        <v>529</v>
      </c>
      <c r="S89" s="1">
        <f t="shared" si="38"/>
        <v>541</v>
      </c>
      <c r="T89" s="3">
        <f t="shared" si="39"/>
        <v>2.2181146025878005</v>
      </c>
      <c r="U89">
        <v>35</v>
      </c>
      <c r="V89" s="3">
        <f t="shared" si="40"/>
        <v>6.4695009242144179</v>
      </c>
      <c r="W89">
        <v>506</v>
      </c>
      <c r="X89">
        <v>0</v>
      </c>
      <c r="Y89">
        <v>0</v>
      </c>
      <c r="Z89">
        <v>11</v>
      </c>
      <c r="AA89" s="3">
        <f t="shared" si="41"/>
        <v>2.033271719038817</v>
      </c>
      <c r="AB89">
        <v>35</v>
      </c>
      <c r="AC89" s="3">
        <f t="shared" si="42"/>
        <v>6.4695009242144179</v>
      </c>
      <c r="AD89">
        <v>20</v>
      </c>
      <c r="AE89" s="3">
        <f t="shared" si="43"/>
        <v>3.6968576709796674</v>
      </c>
      <c r="AF89">
        <v>42</v>
      </c>
      <c r="AG89" s="3">
        <f t="shared" si="44"/>
        <v>7.763401109057301</v>
      </c>
      <c r="AH89">
        <v>146</v>
      </c>
      <c r="AI89" s="3">
        <f t="shared" si="45"/>
        <v>26.98706099815157</v>
      </c>
      <c r="AJ89">
        <v>179</v>
      </c>
      <c r="AK89" s="3">
        <f t="shared" si="46"/>
        <v>33.086876155268023</v>
      </c>
      <c r="AL89">
        <v>11</v>
      </c>
      <c r="AM89" s="3">
        <f t="shared" si="47"/>
        <v>2.033271719038817</v>
      </c>
      <c r="AN89">
        <v>17</v>
      </c>
      <c r="AO89" s="3">
        <f t="shared" si="48"/>
        <v>3.142329020332717</v>
      </c>
      <c r="AP89">
        <v>10</v>
      </c>
      <c r="AQ89" s="3">
        <f t="shared" si="49"/>
        <v>1.8484288354898337</v>
      </c>
      <c r="AR89">
        <v>35</v>
      </c>
      <c r="AS89" s="3">
        <f t="shared" si="50"/>
        <v>6.4695009242144179</v>
      </c>
      <c r="AT89" t="s">
        <v>208</v>
      </c>
      <c r="AV89"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10.545454545454504</v>
      </c>
      <c r="AW89" s="13">
        <f>2*(Мособлдума_партии[[#This Row],[6. Всероссийская политическая партия "ЕДИНАЯ РОССИЯ"]]-(AA$124/100)*Мособлдума_партии[[#This Row],[Число действительных бюллетеней]])</f>
        <v>13.919999999999959</v>
      </c>
      <c r="AX89" s="13">
        <f>(Мособлдума_партии[[#This Row],[Вброс]]+Мособлдума_партии[[#This Row],[Перекладывание]])/2</f>
        <v>12.232727272727232</v>
      </c>
      <c r="AY89" s="13">
        <f>Дума_партии[[#This Row],[Зона ответственности в сен. 2022 г.]]</f>
        <v>0</v>
      </c>
    </row>
    <row r="90" spans="2:51" x14ac:dyDescent="0.4">
      <c r="B90" t="s">
        <v>74</v>
      </c>
      <c r="C90" t="s">
        <v>207</v>
      </c>
      <c r="D90" t="s">
        <v>102</v>
      </c>
      <c r="E90" t="s">
        <v>191</v>
      </c>
      <c r="F90" s="10">
        <f t="shared" ca="1" si="35"/>
        <v>3874</v>
      </c>
      <c r="G90" s="1" t="str">
        <f>Дума_партии[[#This Row],[Местоположение]]</f>
        <v>Наро-Фоминск</v>
      </c>
      <c r="H90">
        <v>971</v>
      </c>
      <c r="I90" s="10">
        <f>Мособлдума_партии[[#This Row],[Число избирателей, внесенных в список на момент окончания голосования]]</f>
        <v>971</v>
      </c>
      <c r="J90">
        <v>900</v>
      </c>
      <c r="K90" s="1"/>
      <c r="L90">
        <v>367</v>
      </c>
      <c r="M90">
        <v>11</v>
      </c>
      <c r="N90" s="3">
        <f t="shared" si="36"/>
        <v>38.928939237899073</v>
      </c>
      <c r="O90" s="3">
        <f t="shared" si="37"/>
        <v>1.1328527291452111</v>
      </c>
      <c r="P90">
        <v>522</v>
      </c>
      <c r="Q90">
        <v>11</v>
      </c>
      <c r="R90">
        <v>367</v>
      </c>
      <c r="S90" s="1">
        <f t="shared" si="38"/>
        <v>378</v>
      </c>
      <c r="T90" s="3">
        <f t="shared" si="39"/>
        <v>2.9100529100529102</v>
      </c>
      <c r="U90">
        <v>7</v>
      </c>
      <c r="V90" s="3">
        <f t="shared" si="40"/>
        <v>1.8518518518518519</v>
      </c>
      <c r="W90">
        <v>371</v>
      </c>
      <c r="X90">
        <v>0</v>
      </c>
      <c r="Y90">
        <v>0</v>
      </c>
      <c r="Z90">
        <v>9</v>
      </c>
      <c r="AA90" s="3">
        <f t="shared" si="41"/>
        <v>2.3809523809523809</v>
      </c>
      <c r="AB90">
        <v>24</v>
      </c>
      <c r="AC90" s="3">
        <f t="shared" si="42"/>
        <v>6.3492063492063489</v>
      </c>
      <c r="AD90">
        <v>24</v>
      </c>
      <c r="AE90" s="3">
        <f t="shared" si="43"/>
        <v>6.3492063492063489</v>
      </c>
      <c r="AF90">
        <v>17</v>
      </c>
      <c r="AG90" s="3">
        <f t="shared" si="44"/>
        <v>4.4973544973544977</v>
      </c>
      <c r="AH90">
        <v>6</v>
      </c>
      <c r="AI90" s="3">
        <f t="shared" si="45"/>
        <v>1.5873015873015872</v>
      </c>
      <c r="AJ90">
        <v>206</v>
      </c>
      <c r="AK90" s="3">
        <f t="shared" si="46"/>
        <v>54.4973544973545</v>
      </c>
      <c r="AL90">
        <v>3</v>
      </c>
      <c r="AM90" s="3">
        <f t="shared" si="47"/>
        <v>0.79365079365079361</v>
      </c>
      <c r="AN90">
        <v>10</v>
      </c>
      <c r="AO90" s="3">
        <f t="shared" si="48"/>
        <v>2.6455026455026456</v>
      </c>
      <c r="AP90">
        <v>58</v>
      </c>
      <c r="AQ90" s="3">
        <f t="shared" si="49"/>
        <v>15.343915343915343</v>
      </c>
      <c r="AR90">
        <v>14</v>
      </c>
      <c r="AS90" s="3">
        <f t="shared" si="50"/>
        <v>3.7037037037037037</v>
      </c>
      <c r="AT90" t="s">
        <v>208</v>
      </c>
      <c r="AV90"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120.99999999999999</v>
      </c>
      <c r="AW90" s="13">
        <f>2*(Мособлдума_партии[[#This Row],[6. Всероссийская политическая партия "ЕДИНАЯ РОССИЯ"]]-(AA$124/100)*Мособлдума_партии[[#This Row],[Число действительных бюллетеней]])</f>
        <v>159.71999999999997</v>
      </c>
      <c r="AX90" s="13">
        <f>(Мособлдума_партии[[#This Row],[Вброс]]+Мособлдума_партии[[#This Row],[Перекладывание]])/2</f>
        <v>140.35999999999999</v>
      </c>
      <c r="AY90" s="13">
        <f>Дума_партии[[#This Row],[Зона ответственности в сен. 2022 г.]]</f>
        <v>0</v>
      </c>
    </row>
    <row r="91" spans="2:51" x14ac:dyDescent="0.4">
      <c r="B91" t="s">
        <v>74</v>
      </c>
      <c r="C91" t="s">
        <v>207</v>
      </c>
      <c r="D91" t="s">
        <v>102</v>
      </c>
      <c r="E91" t="s">
        <v>192</v>
      </c>
      <c r="F91" s="10">
        <f t="shared" ca="1" si="35"/>
        <v>3875</v>
      </c>
      <c r="G91" s="1" t="str">
        <f>Дума_партии[[#This Row],[Местоположение]]</f>
        <v>Наро-Фоминск</v>
      </c>
      <c r="H91">
        <v>1133</v>
      </c>
      <c r="I91" s="10">
        <f>Мособлдума_партии[[#This Row],[Число избирателей, внесенных в список на момент окончания голосования]]</f>
        <v>1133</v>
      </c>
      <c r="J91">
        <v>1100</v>
      </c>
      <c r="K91" s="1"/>
      <c r="L91">
        <v>358</v>
      </c>
      <c r="M91">
        <v>10</v>
      </c>
      <c r="N91" s="3">
        <f t="shared" si="36"/>
        <v>32.480141218005294</v>
      </c>
      <c r="O91" s="3">
        <f t="shared" si="37"/>
        <v>0.88261253309796994</v>
      </c>
      <c r="P91">
        <v>732</v>
      </c>
      <c r="Q91">
        <v>10</v>
      </c>
      <c r="R91">
        <v>358</v>
      </c>
      <c r="S91" s="1">
        <f t="shared" si="38"/>
        <v>368</v>
      </c>
      <c r="T91" s="3">
        <f t="shared" si="39"/>
        <v>2.7173913043478262</v>
      </c>
      <c r="U91">
        <v>67</v>
      </c>
      <c r="V91" s="3">
        <f t="shared" si="40"/>
        <v>18.206521739130434</v>
      </c>
      <c r="W91">
        <v>301</v>
      </c>
      <c r="X91">
        <v>0</v>
      </c>
      <c r="Y91">
        <v>0</v>
      </c>
      <c r="Z91">
        <v>5</v>
      </c>
      <c r="AA91" s="3">
        <f t="shared" si="41"/>
        <v>1.3586956521739131</v>
      </c>
      <c r="AB91">
        <v>31</v>
      </c>
      <c r="AC91" s="3">
        <f t="shared" si="42"/>
        <v>8.4239130434782616</v>
      </c>
      <c r="AD91">
        <v>28</v>
      </c>
      <c r="AE91" s="3">
        <f t="shared" si="43"/>
        <v>7.6086956521739131</v>
      </c>
      <c r="AF91">
        <v>18</v>
      </c>
      <c r="AG91" s="3">
        <f t="shared" si="44"/>
        <v>4.8913043478260869</v>
      </c>
      <c r="AH91">
        <v>63</v>
      </c>
      <c r="AI91" s="3">
        <f t="shared" si="45"/>
        <v>17.119565217391305</v>
      </c>
      <c r="AJ91">
        <v>119</v>
      </c>
      <c r="AK91" s="3">
        <f t="shared" si="46"/>
        <v>32.336956521739133</v>
      </c>
      <c r="AL91">
        <v>7</v>
      </c>
      <c r="AM91" s="3">
        <f t="shared" si="47"/>
        <v>1.9021739130434783</v>
      </c>
      <c r="AN91">
        <v>11</v>
      </c>
      <c r="AO91" s="3">
        <f t="shared" si="48"/>
        <v>2.9891304347826089</v>
      </c>
      <c r="AP91">
        <v>5</v>
      </c>
      <c r="AQ91" s="3">
        <f t="shared" si="49"/>
        <v>1.3586956521739131</v>
      </c>
      <c r="AR91">
        <v>14</v>
      </c>
      <c r="AS91" s="3">
        <f t="shared" si="50"/>
        <v>3.8043478260869565</v>
      </c>
      <c r="AT91" t="s">
        <v>208</v>
      </c>
      <c r="AV91"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25.242424242424221</v>
      </c>
      <c r="AW91" s="13">
        <f>2*(Мособлдума_партии[[#This Row],[6. Всероссийская политическая партия "ЕДИНАЯ РОССИЯ"]]-(AA$124/100)*Мособлдума_партии[[#This Row],[Число действительных бюллетеней]])</f>
        <v>33.319999999999993</v>
      </c>
      <c r="AX91" s="13">
        <f>(Мособлдума_партии[[#This Row],[Вброс]]+Мособлдума_партии[[#This Row],[Перекладывание]])/2</f>
        <v>29.281212121212107</v>
      </c>
      <c r="AY91" s="13">
        <f>Дума_партии[[#This Row],[Зона ответственности в сен. 2022 г.]]</f>
        <v>0</v>
      </c>
    </row>
    <row r="92" spans="2:51" x14ac:dyDescent="0.4">
      <c r="B92" t="s">
        <v>74</v>
      </c>
      <c r="C92" t="s">
        <v>207</v>
      </c>
      <c r="D92" t="s">
        <v>102</v>
      </c>
      <c r="E92" t="s">
        <v>193</v>
      </c>
      <c r="F92" s="10">
        <f t="shared" ca="1" si="35"/>
        <v>3876</v>
      </c>
      <c r="G92" s="1" t="str">
        <f>Дума_партии[[#This Row],[Местоположение]]</f>
        <v>Наро-Фоминск</v>
      </c>
      <c r="H92">
        <v>961</v>
      </c>
      <c r="I92" s="10">
        <f>Мособлдума_партии[[#This Row],[Число избирателей, внесенных в список на момент окончания голосования]]</f>
        <v>961</v>
      </c>
      <c r="J92">
        <v>900</v>
      </c>
      <c r="K92" s="1"/>
      <c r="L92">
        <v>359</v>
      </c>
      <c r="M92">
        <v>11</v>
      </c>
      <c r="N92" s="3">
        <f t="shared" si="36"/>
        <v>38.501560874089492</v>
      </c>
      <c r="O92" s="3">
        <f t="shared" si="37"/>
        <v>1.1446409989594173</v>
      </c>
      <c r="P92">
        <v>530</v>
      </c>
      <c r="Q92">
        <v>11</v>
      </c>
      <c r="R92">
        <v>358</v>
      </c>
      <c r="S92" s="1">
        <f t="shared" si="38"/>
        <v>369</v>
      </c>
      <c r="T92" s="3">
        <f t="shared" si="39"/>
        <v>2.9810298102981028</v>
      </c>
      <c r="U92">
        <v>20</v>
      </c>
      <c r="V92" s="3">
        <f t="shared" si="40"/>
        <v>5.4200542005420056</v>
      </c>
      <c r="W92">
        <v>349</v>
      </c>
      <c r="X92">
        <v>0</v>
      </c>
      <c r="Y92">
        <v>0</v>
      </c>
      <c r="Z92">
        <v>8</v>
      </c>
      <c r="AA92" s="3">
        <f t="shared" si="41"/>
        <v>2.168021680216802</v>
      </c>
      <c r="AB92">
        <v>42</v>
      </c>
      <c r="AC92" s="3">
        <f t="shared" si="42"/>
        <v>11.382113821138212</v>
      </c>
      <c r="AD92">
        <v>27</v>
      </c>
      <c r="AE92" s="3">
        <f t="shared" si="43"/>
        <v>7.3170731707317076</v>
      </c>
      <c r="AF92">
        <v>23</v>
      </c>
      <c r="AG92" s="3">
        <f t="shared" si="44"/>
        <v>6.2330623306233059</v>
      </c>
      <c r="AH92">
        <v>84</v>
      </c>
      <c r="AI92" s="3">
        <f t="shared" si="45"/>
        <v>22.764227642276424</v>
      </c>
      <c r="AJ92">
        <v>108</v>
      </c>
      <c r="AK92" s="3">
        <f t="shared" si="46"/>
        <v>29.26829268292683</v>
      </c>
      <c r="AL92">
        <v>8</v>
      </c>
      <c r="AM92" s="3">
        <f t="shared" si="47"/>
        <v>2.168021680216802</v>
      </c>
      <c r="AN92">
        <v>13</v>
      </c>
      <c r="AO92" s="3">
        <f t="shared" si="48"/>
        <v>3.5230352303523036</v>
      </c>
      <c r="AP92">
        <v>6</v>
      </c>
      <c r="AQ92" s="3">
        <f t="shared" si="49"/>
        <v>1.6260162601626016</v>
      </c>
      <c r="AR92">
        <v>30</v>
      </c>
      <c r="AS92" s="3">
        <f t="shared" si="50"/>
        <v>8.1300813008130088</v>
      </c>
      <c r="AT92" t="s">
        <v>208</v>
      </c>
      <c r="AV92"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-16.15151515151517</v>
      </c>
      <c r="AW92" s="13">
        <f>2*(Мособлдума_партии[[#This Row],[6. Всероссийская политическая партия "ЕДИНАЯ РОССИЯ"]]-(AA$124/100)*Мособлдума_партии[[#This Row],[Число действительных бюллетеней]])</f>
        <v>-21.320000000000022</v>
      </c>
      <c r="AX92" s="13">
        <f>(Мособлдума_партии[[#This Row],[Вброс]]+Мособлдума_партии[[#This Row],[Перекладывание]])/2</f>
        <v>-18.735757575757596</v>
      </c>
      <c r="AY92" s="13">
        <f>Дума_партии[[#This Row],[Зона ответственности в сен. 2022 г.]]</f>
        <v>0</v>
      </c>
    </row>
    <row r="93" spans="2:51" x14ac:dyDescent="0.4">
      <c r="B93" t="s">
        <v>74</v>
      </c>
      <c r="C93" t="s">
        <v>207</v>
      </c>
      <c r="D93" t="s">
        <v>102</v>
      </c>
      <c r="E93" t="s">
        <v>194</v>
      </c>
      <c r="F93" s="10">
        <f t="shared" ca="1" si="35"/>
        <v>3877</v>
      </c>
      <c r="G93" s="1" t="str">
        <f>Дума_партии[[#This Row],[Местоположение]]</f>
        <v>Наро-Фоминск</v>
      </c>
      <c r="H93">
        <v>1280</v>
      </c>
      <c r="I93" s="10">
        <f>Мособлдума_партии[[#This Row],[Число избирателей, внесенных в список на момент окончания голосования]]</f>
        <v>1280</v>
      </c>
      <c r="J93">
        <v>1400</v>
      </c>
      <c r="K93" s="1"/>
      <c r="L93">
        <v>689</v>
      </c>
      <c r="M93">
        <v>3</v>
      </c>
      <c r="N93" s="3">
        <f t="shared" si="36"/>
        <v>54.0625</v>
      </c>
      <c r="O93" s="3">
        <f t="shared" si="37"/>
        <v>0.234375</v>
      </c>
      <c r="P93">
        <v>708</v>
      </c>
      <c r="Q93">
        <v>3</v>
      </c>
      <c r="R93">
        <v>689</v>
      </c>
      <c r="S93" s="1">
        <f t="shared" si="38"/>
        <v>692</v>
      </c>
      <c r="T93" s="3">
        <f t="shared" si="39"/>
        <v>0.43352601156069365</v>
      </c>
      <c r="U93">
        <v>19</v>
      </c>
      <c r="V93" s="3">
        <f t="shared" si="40"/>
        <v>2.745664739884393</v>
      </c>
      <c r="W93">
        <v>673</v>
      </c>
      <c r="X93">
        <v>0</v>
      </c>
      <c r="Y93">
        <v>0</v>
      </c>
      <c r="Z93">
        <v>9</v>
      </c>
      <c r="AA93" s="3">
        <f t="shared" si="41"/>
        <v>1.300578034682081</v>
      </c>
      <c r="AB93">
        <v>37</v>
      </c>
      <c r="AC93" s="3">
        <f t="shared" si="42"/>
        <v>5.3468208092485545</v>
      </c>
      <c r="AD93">
        <v>27</v>
      </c>
      <c r="AE93" s="3">
        <f t="shared" si="43"/>
        <v>3.901734104046243</v>
      </c>
      <c r="AF93">
        <v>40</v>
      </c>
      <c r="AG93" s="3">
        <f t="shared" si="44"/>
        <v>5.7803468208092488</v>
      </c>
      <c r="AH93">
        <v>90</v>
      </c>
      <c r="AI93" s="3">
        <f t="shared" si="45"/>
        <v>13.00578034682081</v>
      </c>
      <c r="AJ93">
        <v>408</v>
      </c>
      <c r="AK93" s="3">
        <f t="shared" si="46"/>
        <v>58.959537572254334</v>
      </c>
      <c r="AL93">
        <v>12</v>
      </c>
      <c r="AM93" s="3">
        <f t="shared" si="47"/>
        <v>1.7341040462427746</v>
      </c>
      <c r="AN93">
        <v>15</v>
      </c>
      <c r="AO93" s="3">
        <f t="shared" si="48"/>
        <v>2.1676300578034682</v>
      </c>
      <c r="AP93">
        <v>11</v>
      </c>
      <c r="AQ93" s="3">
        <f t="shared" si="49"/>
        <v>1.5895953757225434</v>
      </c>
      <c r="AR93">
        <v>24</v>
      </c>
      <c r="AS93" s="3">
        <f t="shared" si="50"/>
        <v>3.4682080924855492</v>
      </c>
      <c r="AT93" t="s">
        <v>208</v>
      </c>
      <c r="AV93"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271.4848484848485</v>
      </c>
      <c r="AW93" s="13">
        <f>2*(Мособлдума_партии[[#This Row],[6. Всероссийская политическая партия "ЕДИНАЯ РОССИЯ"]]-(AA$124/100)*Мособлдума_партии[[#This Row],[Число действительных бюллетеней]])</f>
        <v>358.35999999999996</v>
      </c>
      <c r="AX93" s="13">
        <f>(Мособлдума_партии[[#This Row],[Вброс]]+Мособлдума_партии[[#This Row],[Перекладывание]])/2</f>
        <v>314.9224242424242</v>
      </c>
      <c r="AY93" s="13">
        <f>Дума_партии[[#This Row],[Зона ответственности в сен. 2022 г.]]</f>
        <v>0</v>
      </c>
    </row>
    <row r="94" spans="2:51" x14ac:dyDescent="0.4">
      <c r="B94" t="s">
        <v>74</v>
      </c>
      <c r="C94" t="s">
        <v>207</v>
      </c>
      <c r="D94" t="s">
        <v>102</v>
      </c>
      <c r="E94" t="s">
        <v>195</v>
      </c>
      <c r="F94" s="10">
        <f t="shared" ca="1" si="35"/>
        <v>3878</v>
      </c>
      <c r="G94" s="1" t="str">
        <f>Дума_партии[[#This Row],[Местоположение]]</f>
        <v>Наро-Фоминск</v>
      </c>
      <c r="H94">
        <v>1301</v>
      </c>
      <c r="I94" s="10">
        <f>Мособлдума_партии[[#This Row],[Число избирателей, внесенных в список на момент окончания голосования]]</f>
        <v>1301</v>
      </c>
      <c r="J94">
        <v>1300</v>
      </c>
      <c r="K94" s="1"/>
      <c r="L94">
        <v>496</v>
      </c>
      <c r="M94">
        <v>23</v>
      </c>
      <c r="N94" s="3">
        <f t="shared" si="36"/>
        <v>39.892390468870097</v>
      </c>
      <c r="O94" s="3">
        <f t="shared" si="37"/>
        <v>1.7678708685626441</v>
      </c>
      <c r="P94">
        <v>781</v>
      </c>
      <c r="Q94">
        <v>23</v>
      </c>
      <c r="R94">
        <v>496</v>
      </c>
      <c r="S94" s="1">
        <f t="shared" si="38"/>
        <v>519</v>
      </c>
      <c r="T94" s="3">
        <f t="shared" si="39"/>
        <v>4.4315992292870909</v>
      </c>
      <c r="U94">
        <v>24</v>
      </c>
      <c r="V94" s="3">
        <f t="shared" si="40"/>
        <v>4.6242774566473992</v>
      </c>
      <c r="W94">
        <v>495</v>
      </c>
      <c r="X94">
        <v>0</v>
      </c>
      <c r="Y94">
        <v>0</v>
      </c>
      <c r="Z94">
        <v>10</v>
      </c>
      <c r="AA94" s="3">
        <f t="shared" si="41"/>
        <v>1.9267822736030829</v>
      </c>
      <c r="AB94">
        <v>52</v>
      </c>
      <c r="AC94" s="3">
        <f t="shared" si="42"/>
        <v>10.019267822736031</v>
      </c>
      <c r="AD94">
        <v>20</v>
      </c>
      <c r="AE94" s="3">
        <f t="shared" si="43"/>
        <v>3.8535645472061657</v>
      </c>
      <c r="AF94">
        <v>25</v>
      </c>
      <c r="AG94" s="3">
        <f t="shared" si="44"/>
        <v>4.8169556840077075</v>
      </c>
      <c r="AH94">
        <v>96</v>
      </c>
      <c r="AI94" s="3">
        <f t="shared" si="45"/>
        <v>18.497109826589597</v>
      </c>
      <c r="AJ94">
        <v>228</v>
      </c>
      <c r="AK94" s="3">
        <f t="shared" si="46"/>
        <v>43.930635838150287</v>
      </c>
      <c r="AL94">
        <v>9</v>
      </c>
      <c r="AM94" s="3">
        <f t="shared" si="47"/>
        <v>1.7341040462427746</v>
      </c>
      <c r="AN94">
        <v>14</v>
      </c>
      <c r="AO94" s="3">
        <f t="shared" si="48"/>
        <v>2.6974951830443161</v>
      </c>
      <c r="AP94">
        <v>10</v>
      </c>
      <c r="AQ94" s="3">
        <f t="shared" si="49"/>
        <v>1.9267822736030829</v>
      </c>
      <c r="AR94">
        <v>31</v>
      </c>
      <c r="AS94" s="3">
        <f t="shared" si="50"/>
        <v>5.973025048169557</v>
      </c>
      <c r="AT94" t="s">
        <v>208</v>
      </c>
      <c r="AV94"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90.454545454545439</v>
      </c>
      <c r="AW94" s="13">
        <f>2*(Мособлдума_партии[[#This Row],[6. Всероссийская политическая партия "ЕДИНАЯ РОССИЯ"]]-(AA$124/100)*Мособлдума_партии[[#This Row],[Число действительных бюллетеней]])</f>
        <v>119.39999999999998</v>
      </c>
      <c r="AX94" s="13">
        <f>(Мособлдума_партии[[#This Row],[Вброс]]+Мособлдума_партии[[#This Row],[Перекладывание]])/2</f>
        <v>104.92727272727271</v>
      </c>
      <c r="AY94" s="13">
        <f>Дума_партии[[#This Row],[Зона ответственности в сен. 2022 г.]]</f>
        <v>0</v>
      </c>
    </row>
    <row r="95" spans="2:51" x14ac:dyDescent="0.4">
      <c r="B95" t="s">
        <v>74</v>
      </c>
      <c r="C95" t="s">
        <v>207</v>
      </c>
      <c r="D95" t="s">
        <v>102</v>
      </c>
      <c r="E95" t="s">
        <v>196</v>
      </c>
      <c r="F95" s="10">
        <f t="shared" ca="1" si="35"/>
        <v>3879</v>
      </c>
      <c r="G95" s="1" t="str">
        <f>Дума_партии[[#This Row],[Местоположение]]</f>
        <v>Наро-Фоминск</v>
      </c>
      <c r="H95">
        <v>915</v>
      </c>
      <c r="I95" s="10">
        <f>Мособлдума_партии[[#This Row],[Число избирателей, внесенных в список на момент окончания голосования]]</f>
        <v>915</v>
      </c>
      <c r="J95">
        <v>1000</v>
      </c>
      <c r="K95" s="1"/>
      <c r="L95">
        <v>237</v>
      </c>
      <c r="M95">
        <v>185</v>
      </c>
      <c r="N95" s="3">
        <f t="shared" si="36"/>
        <v>46.120218579234972</v>
      </c>
      <c r="O95" s="3">
        <f t="shared" si="37"/>
        <v>20.218579234972676</v>
      </c>
      <c r="P95">
        <v>578</v>
      </c>
      <c r="Q95">
        <v>185</v>
      </c>
      <c r="R95">
        <v>237</v>
      </c>
      <c r="S95" s="1">
        <f t="shared" si="38"/>
        <v>422</v>
      </c>
      <c r="T95" s="3">
        <f t="shared" si="39"/>
        <v>43.838862559241704</v>
      </c>
      <c r="U95">
        <v>11</v>
      </c>
      <c r="V95" s="3">
        <f t="shared" si="40"/>
        <v>2.6066350710900474</v>
      </c>
      <c r="W95">
        <v>411</v>
      </c>
      <c r="X95">
        <v>0</v>
      </c>
      <c r="Y95">
        <v>0</v>
      </c>
      <c r="Z95">
        <v>4</v>
      </c>
      <c r="AA95" s="3">
        <f t="shared" si="41"/>
        <v>0.94786729857819907</v>
      </c>
      <c r="AB95">
        <v>29</v>
      </c>
      <c r="AC95" s="3">
        <f t="shared" si="42"/>
        <v>6.8720379146919433</v>
      </c>
      <c r="AD95">
        <v>14</v>
      </c>
      <c r="AE95" s="3">
        <f t="shared" si="43"/>
        <v>3.3175355450236967</v>
      </c>
      <c r="AF95">
        <v>15</v>
      </c>
      <c r="AG95" s="3">
        <f t="shared" si="44"/>
        <v>3.5545023696682465</v>
      </c>
      <c r="AH95">
        <v>52</v>
      </c>
      <c r="AI95" s="3">
        <f t="shared" si="45"/>
        <v>12.322274881516588</v>
      </c>
      <c r="AJ95">
        <v>259</v>
      </c>
      <c r="AK95" s="3">
        <f t="shared" si="46"/>
        <v>61.374407582938389</v>
      </c>
      <c r="AL95">
        <v>8</v>
      </c>
      <c r="AM95" s="3">
        <f t="shared" si="47"/>
        <v>1.8957345971563981</v>
      </c>
      <c r="AN95">
        <v>2</v>
      </c>
      <c r="AO95" s="3">
        <f t="shared" si="48"/>
        <v>0.47393364928909953</v>
      </c>
      <c r="AP95">
        <v>14</v>
      </c>
      <c r="AQ95" s="3">
        <f t="shared" si="49"/>
        <v>3.3175355450236967</v>
      </c>
      <c r="AR95">
        <v>14</v>
      </c>
      <c r="AS95" s="3">
        <f t="shared" si="50"/>
        <v>3.3175355450236967</v>
      </c>
      <c r="AT95" t="s">
        <v>208</v>
      </c>
      <c r="AV95"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180.69696969696969</v>
      </c>
      <c r="AW95" s="13">
        <f>2*(Мособлдума_партии[[#This Row],[6. Всероссийская политическая партия "ЕДИНАЯ РОССИЯ"]]-(AA$124/100)*Мособлдума_партии[[#This Row],[Число действительных бюллетеней]])</f>
        <v>238.51999999999998</v>
      </c>
      <c r="AX95" s="13">
        <f>(Мособлдума_партии[[#This Row],[Вброс]]+Мособлдума_партии[[#This Row],[Перекладывание]])/2</f>
        <v>209.60848484848484</v>
      </c>
      <c r="AY95" s="13">
        <f>Дума_партии[[#This Row],[Зона ответственности в сен. 2022 г.]]</f>
        <v>0</v>
      </c>
    </row>
    <row r="96" spans="2:51" x14ac:dyDescent="0.4">
      <c r="B96" t="s">
        <v>74</v>
      </c>
      <c r="C96" t="s">
        <v>207</v>
      </c>
      <c r="D96" t="s">
        <v>102</v>
      </c>
      <c r="E96" t="s">
        <v>197</v>
      </c>
      <c r="F96" s="10">
        <f t="shared" ca="1" si="35"/>
        <v>3880</v>
      </c>
      <c r="G96" s="1" t="str">
        <f>Дума_партии[[#This Row],[Местоположение]]</f>
        <v>Апрелевка</v>
      </c>
      <c r="H96">
        <v>1743</v>
      </c>
      <c r="I96" s="10">
        <f>Мособлдума_партии[[#This Row],[Число избирателей, внесенных в список на момент окончания голосования]]</f>
        <v>1743</v>
      </c>
      <c r="J96">
        <v>1700</v>
      </c>
      <c r="K96" s="1"/>
      <c r="L96">
        <v>392</v>
      </c>
      <c r="M96">
        <v>13</v>
      </c>
      <c r="N96" s="3">
        <f t="shared" si="36"/>
        <v>23.235800344234079</v>
      </c>
      <c r="O96" s="3">
        <f t="shared" si="37"/>
        <v>0.74584050487664943</v>
      </c>
      <c r="P96">
        <v>1295</v>
      </c>
      <c r="Q96">
        <v>13</v>
      </c>
      <c r="R96">
        <v>392</v>
      </c>
      <c r="S96" s="1">
        <f t="shared" si="38"/>
        <v>405</v>
      </c>
      <c r="T96" s="3">
        <f t="shared" si="39"/>
        <v>3.2098765432098766</v>
      </c>
      <c r="U96">
        <v>20</v>
      </c>
      <c r="V96" s="3">
        <f t="shared" si="40"/>
        <v>4.9382716049382713</v>
      </c>
      <c r="W96">
        <v>385</v>
      </c>
      <c r="X96">
        <v>0</v>
      </c>
      <c r="Y96">
        <v>0</v>
      </c>
      <c r="Z96">
        <v>6</v>
      </c>
      <c r="AA96" s="3">
        <f t="shared" si="41"/>
        <v>1.4814814814814814</v>
      </c>
      <c r="AB96">
        <v>32</v>
      </c>
      <c r="AC96" s="3">
        <f t="shared" si="42"/>
        <v>7.9012345679012341</v>
      </c>
      <c r="AD96">
        <v>32</v>
      </c>
      <c r="AE96" s="3">
        <f t="shared" si="43"/>
        <v>7.9012345679012341</v>
      </c>
      <c r="AF96">
        <v>30</v>
      </c>
      <c r="AG96" s="3">
        <f t="shared" si="44"/>
        <v>7.4074074074074074</v>
      </c>
      <c r="AH96">
        <v>104</v>
      </c>
      <c r="AI96" s="3">
        <f t="shared" si="45"/>
        <v>25.679012345679013</v>
      </c>
      <c r="AJ96">
        <v>117</v>
      </c>
      <c r="AK96" s="3">
        <f t="shared" si="46"/>
        <v>28.888888888888889</v>
      </c>
      <c r="AL96">
        <v>10</v>
      </c>
      <c r="AM96" s="3">
        <f t="shared" si="47"/>
        <v>2.4691358024691357</v>
      </c>
      <c r="AN96">
        <v>24</v>
      </c>
      <c r="AO96" s="3">
        <f t="shared" si="48"/>
        <v>5.9259259259259256</v>
      </c>
      <c r="AP96">
        <v>6</v>
      </c>
      <c r="AQ96" s="3">
        <f t="shared" si="49"/>
        <v>1.4814814814814814</v>
      </c>
      <c r="AR96">
        <v>24</v>
      </c>
      <c r="AS96" s="3">
        <f t="shared" si="50"/>
        <v>5.9259259259259256</v>
      </c>
      <c r="AT96" t="s">
        <v>208</v>
      </c>
      <c r="AV96"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-21.060606060606091</v>
      </c>
      <c r="AW96" s="13">
        <f>2*(Мособлдума_партии[[#This Row],[6. Всероссийская политическая партия "ЕДИНАЯ РОССИЯ"]]-(AA$124/100)*Мособлдума_партии[[#This Row],[Число действительных бюллетеней]])</f>
        <v>-27.800000000000011</v>
      </c>
      <c r="AX96" s="13">
        <f>(Мособлдума_партии[[#This Row],[Вброс]]+Мособлдума_партии[[#This Row],[Перекладывание]])/2</f>
        <v>-24.430303030303051</v>
      </c>
      <c r="AY96" s="13" t="str">
        <f>Дума_партии[[#This Row],[Зона ответственности в сен. 2022 г.]]</f>
        <v>Одинцово КПРФ</v>
      </c>
    </row>
    <row r="97" spans="2:51" x14ac:dyDescent="0.4">
      <c r="B97" t="s">
        <v>74</v>
      </c>
      <c r="C97" t="s">
        <v>207</v>
      </c>
      <c r="D97" t="s">
        <v>102</v>
      </c>
      <c r="E97" t="s">
        <v>198</v>
      </c>
      <c r="F97" s="10">
        <f t="shared" ca="1" si="35"/>
        <v>3881</v>
      </c>
      <c r="G97" s="1" t="str">
        <f>Дума_партии[[#This Row],[Местоположение]]</f>
        <v>Верея</v>
      </c>
      <c r="H97">
        <v>1164</v>
      </c>
      <c r="I97" s="10">
        <f>Мособлдума_партии[[#This Row],[Число избирателей, внесенных в список на момент окончания голосования]]</f>
        <v>1164</v>
      </c>
      <c r="J97">
        <v>1100</v>
      </c>
      <c r="K97" s="1"/>
      <c r="L97">
        <v>367</v>
      </c>
      <c r="M97">
        <v>57</v>
      </c>
      <c r="N97" s="3">
        <f t="shared" si="36"/>
        <v>36.426116838487971</v>
      </c>
      <c r="O97" s="3">
        <f t="shared" si="37"/>
        <v>4.8969072164948457</v>
      </c>
      <c r="P97">
        <v>676</v>
      </c>
      <c r="Q97">
        <v>57</v>
      </c>
      <c r="R97">
        <v>367</v>
      </c>
      <c r="S97" s="1">
        <f t="shared" si="38"/>
        <v>424</v>
      </c>
      <c r="T97" s="3">
        <f t="shared" si="39"/>
        <v>13.443396226415095</v>
      </c>
      <c r="U97">
        <v>17</v>
      </c>
      <c r="V97" s="3">
        <f t="shared" si="40"/>
        <v>4.0094339622641506</v>
      </c>
      <c r="W97">
        <v>407</v>
      </c>
      <c r="X97">
        <v>0</v>
      </c>
      <c r="Y97">
        <v>0</v>
      </c>
      <c r="Z97">
        <v>7</v>
      </c>
      <c r="AA97" s="3">
        <f t="shared" si="41"/>
        <v>1.6509433962264151</v>
      </c>
      <c r="AB97">
        <v>53</v>
      </c>
      <c r="AC97" s="3">
        <f t="shared" si="42"/>
        <v>12.5</v>
      </c>
      <c r="AD97">
        <v>23</v>
      </c>
      <c r="AE97" s="3">
        <f t="shared" si="43"/>
        <v>5.4245283018867925</v>
      </c>
      <c r="AF97">
        <v>23</v>
      </c>
      <c r="AG97" s="3">
        <f t="shared" si="44"/>
        <v>5.4245283018867925</v>
      </c>
      <c r="AH97">
        <v>105</v>
      </c>
      <c r="AI97" s="3">
        <f t="shared" si="45"/>
        <v>24.764150943396228</v>
      </c>
      <c r="AJ97">
        <v>134</v>
      </c>
      <c r="AK97" s="3">
        <f t="shared" si="46"/>
        <v>31.60377358490566</v>
      </c>
      <c r="AL97">
        <v>7</v>
      </c>
      <c r="AM97" s="3">
        <f t="shared" si="47"/>
        <v>1.6509433962264151</v>
      </c>
      <c r="AN97">
        <v>7</v>
      </c>
      <c r="AO97" s="3">
        <f t="shared" si="48"/>
        <v>1.6509433962264151</v>
      </c>
      <c r="AP97">
        <v>15</v>
      </c>
      <c r="AQ97" s="3">
        <f t="shared" si="49"/>
        <v>3.5377358490566038</v>
      </c>
      <c r="AR97">
        <v>33</v>
      </c>
      <c r="AS97" s="3">
        <f t="shared" si="50"/>
        <v>7.783018867924528</v>
      </c>
      <c r="AT97" t="s">
        <v>208</v>
      </c>
      <c r="AV97"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-6.6363636363636545</v>
      </c>
      <c r="AW97" s="13">
        <f>2*(Мособлдума_партии[[#This Row],[6. Всероссийская политическая партия "ЕДИНАЯ РОССИЯ"]]-(AA$124/100)*Мособлдума_партии[[#This Row],[Число действительных бюллетеней]])</f>
        <v>-8.7600000000000477</v>
      </c>
      <c r="AX97" s="13">
        <f>(Мособлдума_партии[[#This Row],[Вброс]]+Мособлдума_партии[[#This Row],[Перекладывание]])/2</f>
        <v>-7.6981818181818511</v>
      </c>
      <c r="AY97" s="13">
        <f>Дума_партии[[#This Row],[Зона ответственности в сен. 2022 г.]]</f>
        <v>0</v>
      </c>
    </row>
    <row r="98" spans="2:51" x14ac:dyDescent="0.4">
      <c r="B98" t="s">
        <v>74</v>
      </c>
      <c r="C98" t="s">
        <v>207</v>
      </c>
      <c r="D98" t="s">
        <v>102</v>
      </c>
      <c r="E98" t="s">
        <v>199</v>
      </c>
      <c r="F98" s="10">
        <f t="shared" ca="1" si="35"/>
        <v>3882</v>
      </c>
      <c r="G98" s="1" t="str">
        <f>Дума_партии[[#This Row],[Местоположение]]</f>
        <v>Калининец</v>
      </c>
      <c r="H98">
        <v>3346</v>
      </c>
      <c r="I98" s="10">
        <f>Мособлдума_партии[[#This Row],[Число избирателей, внесенных в список на момент окончания голосования]]</f>
        <v>3346</v>
      </c>
      <c r="J98">
        <v>3000</v>
      </c>
      <c r="K98" s="1"/>
      <c r="L98">
        <v>1573</v>
      </c>
      <c r="M98">
        <v>0</v>
      </c>
      <c r="N98" s="3">
        <f t="shared" si="36"/>
        <v>47.011356843992829</v>
      </c>
      <c r="O98" s="3">
        <f t="shared" si="37"/>
        <v>0</v>
      </c>
      <c r="P98">
        <v>1427</v>
      </c>
      <c r="Q98">
        <v>0</v>
      </c>
      <c r="R98">
        <v>1573</v>
      </c>
      <c r="S98" s="1">
        <f t="shared" si="38"/>
        <v>1573</v>
      </c>
      <c r="T98" s="3">
        <f t="shared" si="39"/>
        <v>0</v>
      </c>
      <c r="U98">
        <v>49</v>
      </c>
      <c r="V98" s="3">
        <f t="shared" si="40"/>
        <v>3.1150667514303878</v>
      </c>
      <c r="W98">
        <v>1524</v>
      </c>
      <c r="X98">
        <v>0</v>
      </c>
      <c r="Y98">
        <v>0</v>
      </c>
      <c r="Z98">
        <v>29</v>
      </c>
      <c r="AA98" s="3">
        <f t="shared" si="41"/>
        <v>1.8436109345200253</v>
      </c>
      <c r="AB98">
        <v>223</v>
      </c>
      <c r="AC98" s="3">
        <f t="shared" si="42"/>
        <v>14.17673235855054</v>
      </c>
      <c r="AD98">
        <v>85</v>
      </c>
      <c r="AE98" s="3">
        <f t="shared" si="43"/>
        <v>5.4036872218690402</v>
      </c>
      <c r="AF98">
        <v>29</v>
      </c>
      <c r="AG98" s="3">
        <f t="shared" si="44"/>
        <v>1.8436109345200253</v>
      </c>
      <c r="AH98">
        <v>178</v>
      </c>
      <c r="AI98" s="3">
        <f t="shared" si="45"/>
        <v>11.315956770502225</v>
      </c>
      <c r="AJ98">
        <v>834</v>
      </c>
      <c r="AK98" s="3">
        <f t="shared" si="46"/>
        <v>53.019707565162108</v>
      </c>
      <c r="AL98">
        <v>29</v>
      </c>
      <c r="AM98" s="3">
        <f t="shared" si="47"/>
        <v>1.8436109345200253</v>
      </c>
      <c r="AN98">
        <v>55</v>
      </c>
      <c r="AO98" s="3">
        <f t="shared" si="48"/>
        <v>3.4965034965034967</v>
      </c>
      <c r="AP98">
        <v>20</v>
      </c>
      <c r="AQ98" s="3">
        <f t="shared" si="49"/>
        <v>1.2714558169103625</v>
      </c>
      <c r="AR98">
        <v>42</v>
      </c>
      <c r="AS98" s="3">
        <f t="shared" si="50"/>
        <v>2.6700572155117608</v>
      </c>
      <c r="AT98" t="s">
        <v>208</v>
      </c>
      <c r="AV98"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478.5454545454545</v>
      </c>
      <c r="AW98" s="13">
        <f>2*(Мособлдума_партии[[#This Row],[6. Всероссийская политическая партия "ЕДИНАЯ РОССИЯ"]]-(AA$124/100)*Мособлдума_партии[[#This Row],[Число действительных бюллетеней]])</f>
        <v>631.67999999999984</v>
      </c>
      <c r="AX98" s="13">
        <f>(Мособлдума_партии[[#This Row],[Вброс]]+Мособлдума_партии[[#This Row],[Перекладывание]])/2</f>
        <v>555.11272727272717</v>
      </c>
      <c r="AY98" s="13" t="str">
        <f>Дума_партии[[#This Row],[Зона ответственности в сен. 2022 г.]]</f>
        <v>Одинцово КПРФ</v>
      </c>
    </row>
    <row r="99" spans="2:51" x14ac:dyDescent="0.4">
      <c r="B99" t="s">
        <v>74</v>
      </c>
      <c r="C99" t="s">
        <v>207</v>
      </c>
      <c r="D99" t="s">
        <v>102</v>
      </c>
      <c r="E99" t="s">
        <v>200</v>
      </c>
      <c r="F99" s="10">
        <f t="shared" ca="1" si="35"/>
        <v>3883</v>
      </c>
      <c r="G99" s="1" t="str">
        <f>Дума_партии[[#This Row],[Местоположение]]</f>
        <v>Калининец</v>
      </c>
      <c r="H99">
        <v>1981</v>
      </c>
      <c r="I99" s="10">
        <f>Мособлдума_партии[[#This Row],[Число избирателей, внесенных в список на момент окончания голосования]]</f>
        <v>1981</v>
      </c>
      <c r="J99">
        <v>1800</v>
      </c>
      <c r="K99" s="1"/>
      <c r="L99">
        <v>1266</v>
      </c>
      <c r="M99">
        <v>14</v>
      </c>
      <c r="N99" s="3">
        <f t="shared" si="36"/>
        <v>64.613831398283693</v>
      </c>
      <c r="O99" s="3">
        <f t="shared" si="37"/>
        <v>0.70671378091872794</v>
      </c>
      <c r="P99">
        <v>520</v>
      </c>
      <c r="Q99">
        <v>14</v>
      </c>
      <c r="R99">
        <v>1266</v>
      </c>
      <c r="S99" s="1">
        <f t="shared" si="38"/>
        <v>1280</v>
      </c>
      <c r="T99" s="3">
        <f t="shared" si="39"/>
        <v>1.09375</v>
      </c>
      <c r="U99">
        <v>76</v>
      </c>
      <c r="V99" s="3">
        <f t="shared" si="40"/>
        <v>5.9375</v>
      </c>
      <c r="W99">
        <v>1204</v>
      </c>
      <c r="X99">
        <v>0</v>
      </c>
      <c r="Y99">
        <v>0</v>
      </c>
      <c r="Z99">
        <v>25</v>
      </c>
      <c r="AA99" s="3">
        <f t="shared" si="41"/>
        <v>1.953125</v>
      </c>
      <c r="AB99">
        <v>173</v>
      </c>
      <c r="AC99" s="3">
        <f t="shared" si="42"/>
        <v>13.515625</v>
      </c>
      <c r="AD99">
        <v>65</v>
      </c>
      <c r="AE99" s="3">
        <f t="shared" si="43"/>
        <v>5.078125</v>
      </c>
      <c r="AF99">
        <v>39</v>
      </c>
      <c r="AG99" s="3">
        <f t="shared" si="44"/>
        <v>3.046875</v>
      </c>
      <c r="AH99">
        <v>217</v>
      </c>
      <c r="AI99" s="3">
        <f t="shared" si="45"/>
        <v>16.953125</v>
      </c>
      <c r="AJ99">
        <v>557</v>
      </c>
      <c r="AK99" s="3">
        <f t="shared" si="46"/>
        <v>43.515625</v>
      </c>
      <c r="AL99">
        <v>22</v>
      </c>
      <c r="AM99" s="3">
        <f t="shared" si="47"/>
        <v>1.71875</v>
      </c>
      <c r="AN99">
        <v>37</v>
      </c>
      <c r="AO99" s="3">
        <f t="shared" si="48"/>
        <v>2.890625</v>
      </c>
      <c r="AP99">
        <v>20</v>
      </c>
      <c r="AQ99" s="3">
        <f t="shared" si="49"/>
        <v>1.5625</v>
      </c>
      <c r="AR99">
        <v>49</v>
      </c>
      <c r="AS99" s="3">
        <f t="shared" si="50"/>
        <v>3.828125</v>
      </c>
      <c r="AT99" t="s">
        <v>208</v>
      </c>
      <c r="AV99"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223.69696969696963</v>
      </c>
      <c r="AW99" s="13">
        <f>2*(Мособлдума_партии[[#This Row],[6. Всероссийская политическая партия "ЕДИНАЯ РОССИЯ"]]-(AA$124/100)*Мособлдума_партии[[#This Row],[Число действительных бюллетеней]])</f>
        <v>295.27999999999997</v>
      </c>
      <c r="AX99" s="13">
        <f>(Мособлдума_партии[[#This Row],[Вброс]]+Мособлдума_партии[[#This Row],[Перекладывание]])/2</f>
        <v>259.4884848484848</v>
      </c>
      <c r="AY99" s="13" t="str">
        <f>Дума_партии[[#This Row],[Зона ответственности в сен. 2022 г.]]</f>
        <v>Одинцово КПРФ</v>
      </c>
    </row>
    <row r="100" spans="2:51" x14ac:dyDescent="0.4">
      <c r="B100" t="s">
        <v>74</v>
      </c>
      <c r="C100" t="s">
        <v>207</v>
      </c>
      <c r="D100" t="s">
        <v>102</v>
      </c>
      <c r="E100" t="s">
        <v>201</v>
      </c>
      <c r="F100" s="10">
        <f t="shared" ca="1" si="35"/>
        <v>3884</v>
      </c>
      <c r="G100" s="1" t="str">
        <f>Дума_партии[[#This Row],[Местоположение]]</f>
        <v>Калининец</v>
      </c>
      <c r="H100">
        <v>1966</v>
      </c>
      <c r="I100" s="10">
        <f>Мособлдума_партии[[#This Row],[Число избирателей, внесенных в список на момент окончания голосования]]</f>
        <v>1966</v>
      </c>
      <c r="J100">
        <v>1500</v>
      </c>
      <c r="K100" s="1"/>
      <c r="L100">
        <v>1085</v>
      </c>
      <c r="M100">
        <v>0</v>
      </c>
      <c r="N100" s="3">
        <f t="shared" si="36"/>
        <v>55.188199389623598</v>
      </c>
      <c r="O100" s="3">
        <f t="shared" si="37"/>
        <v>0</v>
      </c>
      <c r="P100">
        <v>415</v>
      </c>
      <c r="Q100">
        <v>0</v>
      </c>
      <c r="R100">
        <v>1085</v>
      </c>
      <c r="S100" s="1">
        <f t="shared" si="38"/>
        <v>1085</v>
      </c>
      <c r="T100" s="3">
        <f t="shared" si="39"/>
        <v>0</v>
      </c>
      <c r="U100">
        <v>9</v>
      </c>
      <c r="V100" s="3">
        <f t="shared" si="40"/>
        <v>0.82949308755760365</v>
      </c>
      <c r="W100">
        <v>1076</v>
      </c>
      <c r="X100">
        <v>0</v>
      </c>
      <c r="Y100">
        <v>0</v>
      </c>
      <c r="Z100">
        <v>1</v>
      </c>
      <c r="AA100" s="3">
        <f t="shared" si="41"/>
        <v>9.2165898617511524E-2</v>
      </c>
      <c r="AB100">
        <v>49</v>
      </c>
      <c r="AC100" s="3">
        <f t="shared" si="42"/>
        <v>4.5161290322580649</v>
      </c>
      <c r="AD100">
        <v>11</v>
      </c>
      <c r="AE100" s="3">
        <f t="shared" si="43"/>
        <v>1.0138248847926268</v>
      </c>
      <c r="AF100">
        <v>11</v>
      </c>
      <c r="AG100" s="3">
        <f t="shared" si="44"/>
        <v>1.0138248847926268</v>
      </c>
      <c r="AH100">
        <v>161</v>
      </c>
      <c r="AI100" s="3">
        <f t="shared" si="45"/>
        <v>14.838709677419354</v>
      </c>
      <c r="AJ100">
        <v>813</v>
      </c>
      <c r="AK100" s="3">
        <f t="shared" si="46"/>
        <v>74.930875576036868</v>
      </c>
      <c r="AL100">
        <v>6</v>
      </c>
      <c r="AM100" s="3">
        <f t="shared" si="47"/>
        <v>0.55299539170506917</v>
      </c>
      <c r="AN100">
        <v>9</v>
      </c>
      <c r="AO100" s="3">
        <f t="shared" si="48"/>
        <v>0.82949308755760365</v>
      </c>
      <c r="AP100">
        <v>7</v>
      </c>
      <c r="AQ100" s="3">
        <f t="shared" si="49"/>
        <v>0.64516129032258063</v>
      </c>
      <c r="AR100">
        <v>8</v>
      </c>
      <c r="AS100" s="3">
        <f t="shared" si="50"/>
        <v>0.73732718894009219</v>
      </c>
      <c r="AT100" t="s">
        <v>208</v>
      </c>
      <c r="AV100"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677.5151515151515</v>
      </c>
      <c r="AW100" s="13">
        <f>2*(Мособлдума_партии[[#This Row],[6. Всероссийская политическая партия "ЕДИНАЯ РОССИЯ"]]-(AA$124/100)*Мособлдума_партии[[#This Row],[Число действительных бюллетеней]])</f>
        <v>894.31999999999994</v>
      </c>
      <c r="AX100" s="13">
        <f>(Мособлдума_партии[[#This Row],[Вброс]]+Мособлдума_партии[[#This Row],[Перекладывание]])/2</f>
        <v>785.91757575757572</v>
      </c>
      <c r="AY100" s="13" t="str">
        <f>Дума_партии[[#This Row],[Зона ответственности в сен. 2022 г.]]</f>
        <v>Одинцово КПРФ</v>
      </c>
    </row>
    <row r="101" spans="2:51" x14ac:dyDescent="0.4">
      <c r="B101" t="s">
        <v>74</v>
      </c>
      <c r="C101" t="s">
        <v>207</v>
      </c>
      <c r="D101" t="s">
        <v>102</v>
      </c>
      <c r="E101" t="s">
        <v>202</v>
      </c>
      <c r="F101" s="10">
        <f t="shared" ca="1" si="35"/>
        <v>3885</v>
      </c>
      <c r="G101" s="1" t="str">
        <f>Дума_партии[[#This Row],[Местоположение]]</f>
        <v>Селятино</v>
      </c>
      <c r="H101">
        <v>1171</v>
      </c>
      <c r="I101" s="10">
        <f>Мособлдума_партии[[#This Row],[Число избирателей, внесенных в список на момент окончания голосования]]</f>
        <v>1171</v>
      </c>
      <c r="J101">
        <v>1100</v>
      </c>
      <c r="K101" s="1"/>
      <c r="L101">
        <v>453</v>
      </c>
      <c r="M101">
        <v>10</v>
      </c>
      <c r="N101" s="3">
        <f t="shared" si="36"/>
        <v>39.53885567890692</v>
      </c>
      <c r="O101" s="3">
        <f t="shared" si="37"/>
        <v>0.85397096498719038</v>
      </c>
      <c r="P101">
        <v>637</v>
      </c>
      <c r="Q101">
        <v>10</v>
      </c>
      <c r="R101">
        <v>453</v>
      </c>
      <c r="S101" s="1">
        <f t="shared" si="38"/>
        <v>463</v>
      </c>
      <c r="T101" s="3">
        <f t="shared" si="39"/>
        <v>2.159827213822894</v>
      </c>
      <c r="U101">
        <v>26</v>
      </c>
      <c r="V101" s="3">
        <f t="shared" si="40"/>
        <v>5.615550755939525</v>
      </c>
      <c r="W101">
        <v>437</v>
      </c>
      <c r="X101">
        <v>0</v>
      </c>
      <c r="Y101">
        <v>0</v>
      </c>
      <c r="Z101">
        <v>13</v>
      </c>
      <c r="AA101" s="3">
        <f t="shared" si="41"/>
        <v>2.8077753779697625</v>
      </c>
      <c r="AB101">
        <v>39</v>
      </c>
      <c r="AC101" s="3">
        <f t="shared" si="42"/>
        <v>8.4233261339092866</v>
      </c>
      <c r="AD101">
        <v>31</v>
      </c>
      <c r="AE101" s="3">
        <f t="shared" si="43"/>
        <v>6.6954643628509718</v>
      </c>
      <c r="AF101">
        <v>29</v>
      </c>
      <c r="AG101" s="3">
        <f t="shared" si="44"/>
        <v>6.2634989200863931</v>
      </c>
      <c r="AH101">
        <v>115</v>
      </c>
      <c r="AI101" s="3">
        <f t="shared" si="45"/>
        <v>24.838012958963283</v>
      </c>
      <c r="AJ101">
        <v>129</v>
      </c>
      <c r="AK101" s="3">
        <f t="shared" si="46"/>
        <v>27.861771058315334</v>
      </c>
      <c r="AL101">
        <v>13</v>
      </c>
      <c r="AM101" s="3">
        <f t="shared" si="47"/>
        <v>2.8077753779697625</v>
      </c>
      <c r="AN101">
        <v>21</v>
      </c>
      <c r="AO101" s="3">
        <f t="shared" si="48"/>
        <v>4.5356371490280774</v>
      </c>
      <c r="AP101">
        <v>12</v>
      </c>
      <c r="AQ101" s="3">
        <f t="shared" si="49"/>
        <v>2.5917926565874732</v>
      </c>
      <c r="AR101">
        <v>35</v>
      </c>
      <c r="AS101" s="3">
        <f t="shared" si="50"/>
        <v>7.5593952483801292</v>
      </c>
      <c r="AT101" t="s">
        <v>208</v>
      </c>
      <c r="AV101"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-29.666666666666686</v>
      </c>
      <c r="AW101" s="13">
        <f>2*(Мособлдума_партии[[#This Row],[6. Всероссийская политическая партия "ЕДИНАЯ РОССИЯ"]]-(AA$124/100)*Мособлдума_партии[[#This Row],[Число действительных бюллетеней]])</f>
        <v>-39.160000000000025</v>
      </c>
      <c r="AX101" s="13">
        <f>(Мособлдума_партии[[#This Row],[Вброс]]+Мособлдума_партии[[#This Row],[Перекладывание]])/2</f>
        <v>-34.413333333333355</v>
      </c>
      <c r="AY101" s="13" t="str">
        <f>Дума_партии[[#This Row],[Зона ответственности в сен. 2022 г.]]</f>
        <v>Одинцово КПРФ</v>
      </c>
    </row>
    <row r="102" spans="2:51" x14ac:dyDescent="0.4">
      <c r="B102" t="s">
        <v>74</v>
      </c>
      <c r="C102" t="s">
        <v>207</v>
      </c>
      <c r="D102" t="s">
        <v>102</v>
      </c>
      <c r="E102" t="s">
        <v>203</v>
      </c>
      <c r="F102" s="10">
        <f t="shared" ca="1" si="35"/>
        <v>4243</v>
      </c>
      <c r="G102" s="1" t="str">
        <f>Дума_партии[[#This Row],[Местоположение]]</f>
        <v>Наро-Фоминск рай. больн.</v>
      </c>
      <c r="H102">
        <v>205</v>
      </c>
      <c r="I102" s="10">
        <f>Мособлдума_партии[[#This Row],[Число избирателей, внесенных в список на момент окончания голосования]]</f>
        <v>205</v>
      </c>
      <c r="J102">
        <v>230</v>
      </c>
      <c r="K102" s="1"/>
      <c r="L102">
        <v>205</v>
      </c>
      <c r="M102">
        <v>0</v>
      </c>
      <c r="N102" s="3">
        <f t="shared" si="36"/>
        <v>100</v>
      </c>
      <c r="O102" s="3">
        <f t="shared" si="37"/>
        <v>0</v>
      </c>
      <c r="P102">
        <v>25</v>
      </c>
      <c r="Q102">
        <v>0</v>
      </c>
      <c r="R102">
        <v>205</v>
      </c>
      <c r="S102" s="1">
        <f t="shared" si="38"/>
        <v>205</v>
      </c>
      <c r="T102" s="3">
        <f t="shared" si="39"/>
        <v>0</v>
      </c>
      <c r="U102">
        <v>0</v>
      </c>
      <c r="V102" s="3">
        <f t="shared" si="40"/>
        <v>0</v>
      </c>
      <c r="W102">
        <v>205</v>
      </c>
      <c r="X102">
        <v>0</v>
      </c>
      <c r="Y102">
        <v>0</v>
      </c>
      <c r="Z102">
        <v>0</v>
      </c>
      <c r="AA102" s="3">
        <f t="shared" si="41"/>
        <v>0</v>
      </c>
      <c r="AB102">
        <v>10</v>
      </c>
      <c r="AC102" s="3">
        <f t="shared" si="42"/>
        <v>4.8780487804878048</v>
      </c>
      <c r="AD102">
        <v>0</v>
      </c>
      <c r="AE102" s="3">
        <f t="shared" si="43"/>
        <v>0</v>
      </c>
      <c r="AF102">
        <v>0</v>
      </c>
      <c r="AG102" s="3">
        <f t="shared" si="44"/>
        <v>0</v>
      </c>
      <c r="AH102">
        <v>8</v>
      </c>
      <c r="AI102" s="3">
        <f t="shared" si="45"/>
        <v>3.9024390243902438</v>
      </c>
      <c r="AJ102">
        <v>187</v>
      </c>
      <c r="AK102" s="3">
        <f t="shared" si="46"/>
        <v>91.219512195121951</v>
      </c>
      <c r="AL102">
        <v>0</v>
      </c>
      <c r="AM102" s="3">
        <f t="shared" si="47"/>
        <v>0</v>
      </c>
      <c r="AN102">
        <v>0</v>
      </c>
      <c r="AO102" s="3">
        <f t="shared" si="48"/>
        <v>0</v>
      </c>
      <c r="AP102">
        <v>0</v>
      </c>
      <c r="AQ102" s="3">
        <f t="shared" si="49"/>
        <v>0</v>
      </c>
      <c r="AR102">
        <v>0</v>
      </c>
      <c r="AS102" s="3">
        <f t="shared" si="50"/>
        <v>0</v>
      </c>
      <c r="AT102" t="s">
        <v>208</v>
      </c>
      <c r="AV102"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177.72727272727272</v>
      </c>
      <c r="AW102" s="13">
        <f>2*(Мособлдума_партии[[#This Row],[6. Всероссийская политическая партия "ЕДИНАЯ РОССИЯ"]]-(AA$124/100)*Мособлдума_партии[[#This Row],[Число действительных бюллетеней]])</f>
        <v>234.6</v>
      </c>
      <c r="AX102" s="13">
        <f>(Мособлдума_партии[[#This Row],[Вброс]]+Мособлдума_партии[[#This Row],[Перекладывание]])/2</f>
        <v>206.16363636363636</v>
      </c>
      <c r="AY102" s="13">
        <f>Дума_партии[[#This Row],[Зона ответственности в сен. 2022 г.]]</f>
        <v>0</v>
      </c>
    </row>
    <row r="103" spans="2:51" x14ac:dyDescent="0.4">
      <c r="B103" t="s">
        <v>74</v>
      </c>
      <c r="C103" t="s">
        <v>207</v>
      </c>
      <c r="D103" t="s">
        <v>102</v>
      </c>
      <c r="E103" t="s">
        <v>204</v>
      </c>
      <c r="F103" s="10">
        <f t="shared" ca="1" si="35"/>
        <v>4250</v>
      </c>
      <c r="G103" s="1" t="str">
        <f>Дума_партии[[#This Row],[Местоположение]]</f>
        <v>Каменское обл. психбольн.</v>
      </c>
      <c r="H103">
        <v>176</v>
      </c>
      <c r="I103" s="10">
        <f>Мособлдума_партии[[#This Row],[Число избирателей, внесенных в список на момент окончания голосования]]</f>
        <v>176</v>
      </c>
      <c r="J103">
        <v>270</v>
      </c>
      <c r="K103" s="1"/>
      <c r="L103">
        <v>141</v>
      </c>
      <c r="M103">
        <v>0</v>
      </c>
      <c r="N103" s="3">
        <f t="shared" si="36"/>
        <v>80.11363636363636</v>
      </c>
      <c r="O103" s="3">
        <f t="shared" si="37"/>
        <v>0</v>
      </c>
      <c r="P103">
        <v>129</v>
      </c>
      <c r="Q103">
        <v>0</v>
      </c>
      <c r="R103">
        <v>141</v>
      </c>
      <c r="S103" s="1">
        <f t="shared" si="38"/>
        <v>141</v>
      </c>
      <c r="T103" s="3">
        <f t="shared" si="39"/>
        <v>0</v>
      </c>
      <c r="U103">
        <v>6</v>
      </c>
      <c r="V103" s="3">
        <f t="shared" si="40"/>
        <v>4.2553191489361701</v>
      </c>
      <c r="W103">
        <v>135</v>
      </c>
      <c r="X103">
        <v>0</v>
      </c>
      <c r="Y103">
        <v>0</v>
      </c>
      <c r="Z103">
        <v>0</v>
      </c>
      <c r="AA103" s="3">
        <f t="shared" si="41"/>
        <v>0</v>
      </c>
      <c r="AB103">
        <v>3</v>
      </c>
      <c r="AC103" s="3">
        <f t="shared" si="42"/>
        <v>2.1276595744680851</v>
      </c>
      <c r="AD103">
        <v>4</v>
      </c>
      <c r="AE103" s="3">
        <f t="shared" si="43"/>
        <v>2.8368794326241136</v>
      </c>
      <c r="AF103">
        <v>3</v>
      </c>
      <c r="AG103" s="3">
        <f t="shared" si="44"/>
        <v>2.1276595744680851</v>
      </c>
      <c r="AH103">
        <v>3</v>
      </c>
      <c r="AI103" s="3">
        <f t="shared" si="45"/>
        <v>2.1276595744680851</v>
      </c>
      <c r="AJ103">
        <v>116</v>
      </c>
      <c r="AK103" s="3">
        <f t="shared" si="46"/>
        <v>82.269503546099287</v>
      </c>
      <c r="AL103">
        <v>0</v>
      </c>
      <c r="AM103" s="3">
        <f t="shared" si="47"/>
        <v>0</v>
      </c>
      <c r="AN103">
        <v>3</v>
      </c>
      <c r="AO103" s="3">
        <f t="shared" si="48"/>
        <v>2.1276595744680851</v>
      </c>
      <c r="AP103">
        <v>0</v>
      </c>
      <c r="AQ103" s="3">
        <f t="shared" si="49"/>
        <v>0</v>
      </c>
      <c r="AR103">
        <v>3</v>
      </c>
      <c r="AS103" s="3">
        <f t="shared" si="50"/>
        <v>2.1276595744680851</v>
      </c>
      <c r="AT103" t="s">
        <v>208</v>
      </c>
      <c r="AV103"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106.21212121212122</v>
      </c>
      <c r="AW103" s="13">
        <f>2*(Мособлдума_партии[[#This Row],[6. Всероссийская политическая партия "ЕДИНАЯ РОССИЯ"]]-(AA$124/100)*Мособлдума_партии[[#This Row],[Число действительных бюллетеней]])</f>
        <v>140.19999999999999</v>
      </c>
      <c r="AX103" s="13">
        <f>(Мособлдума_партии[[#This Row],[Вброс]]+Мособлдума_партии[[#This Row],[Перекладывание]])/2</f>
        <v>123.2060606060606</v>
      </c>
      <c r="AY103" s="13">
        <f>Дума_партии[[#This Row],[Зона ответственности в сен. 2022 г.]]</f>
        <v>0</v>
      </c>
    </row>
    <row r="104" spans="2:51" x14ac:dyDescent="0.4">
      <c r="B104" t="s">
        <v>74</v>
      </c>
      <c r="C104" t="s">
        <v>207</v>
      </c>
      <c r="D104" t="s">
        <v>102</v>
      </c>
      <c r="E104" t="s">
        <v>205</v>
      </c>
      <c r="F104" s="10">
        <f t="shared" ref="F104:F105" ca="1" si="51">SUMPRODUCT(MID(0&amp;E104, LARGE(INDEX(ISNUMBER(--MID(E104, ROW(INDIRECT("1:"&amp;LEN(E104))), 1)) * ROW(INDIRECT("1:"&amp;LEN(E104))), 0), ROW(INDIRECT("1:"&amp;LEN(E104))))+1, 1) * 10^ROW(INDIRECT("1:"&amp;LEN(E104)))/10)</f>
        <v>4251</v>
      </c>
      <c r="G104" s="1" t="str">
        <f>Дума_партии[[#This Row],[Местоположение]]</f>
        <v>Наро-Фоминск роддом</v>
      </c>
      <c r="H104">
        <v>174</v>
      </c>
      <c r="I104" s="10">
        <f>Мособлдума_партии[[#This Row],[Число избирателей, внесенных в список на момент окончания голосования]]</f>
        <v>174</v>
      </c>
      <c r="J104">
        <v>210</v>
      </c>
      <c r="K104" s="1"/>
      <c r="L104">
        <v>125</v>
      </c>
      <c r="M104">
        <v>43</v>
      </c>
      <c r="N104" s="3">
        <f t="shared" ref="N104:N105" si="52">100*(L104+M104)/H104</f>
        <v>96.551724137931032</v>
      </c>
      <c r="O104" s="3">
        <f t="shared" si="37"/>
        <v>24.712643678160919</v>
      </c>
      <c r="P104">
        <v>42</v>
      </c>
      <c r="Q104">
        <v>43</v>
      </c>
      <c r="R104">
        <v>125</v>
      </c>
      <c r="S104" s="1">
        <f t="shared" ref="S104:S105" si="53">Q104+R104</f>
        <v>168</v>
      </c>
      <c r="T104" s="3">
        <f t="shared" ref="T104:T105" si="54">100*Q104/S104</f>
        <v>25.595238095238095</v>
      </c>
      <c r="U104">
        <v>3</v>
      </c>
      <c r="V104" s="3">
        <f t="shared" ref="V104:V105" si="55">100*U104/S104</f>
        <v>1.7857142857142858</v>
      </c>
      <c r="W104">
        <v>165</v>
      </c>
      <c r="X104">
        <v>0</v>
      </c>
      <c r="Y104">
        <v>0</v>
      </c>
      <c r="Z104">
        <v>4</v>
      </c>
      <c r="AA104" s="3">
        <f t="shared" ref="AA104:AA105" si="56">100*Z104/$S104</f>
        <v>2.3809523809523809</v>
      </c>
      <c r="AB104">
        <v>17</v>
      </c>
      <c r="AC104" s="3">
        <f t="shared" ref="AC104:AC105" si="57">100*AB104/$S104</f>
        <v>10.119047619047619</v>
      </c>
      <c r="AD104">
        <v>6</v>
      </c>
      <c r="AE104" s="3">
        <f t="shared" ref="AE104:AE105" si="58">100*AD104/$S104</f>
        <v>3.5714285714285716</v>
      </c>
      <c r="AF104">
        <v>14</v>
      </c>
      <c r="AG104" s="3">
        <f t="shared" ref="AG104:AG105" si="59">100*AF104/$S104</f>
        <v>8.3333333333333339</v>
      </c>
      <c r="AH104">
        <v>19</v>
      </c>
      <c r="AI104" s="3">
        <f t="shared" ref="AI104:AI105" si="60">100*AH104/$S104</f>
        <v>11.30952380952381</v>
      </c>
      <c r="AJ104">
        <v>93</v>
      </c>
      <c r="AK104" s="3">
        <f t="shared" ref="AK104:AK105" si="61">100*AJ104/$S104</f>
        <v>55.357142857142854</v>
      </c>
      <c r="AL104">
        <v>5</v>
      </c>
      <c r="AM104" s="3">
        <f t="shared" ref="AM104:AM105" si="62">100*AL104/$S104</f>
        <v>2.9761904761904763</v>
      </c>
      <c r="AN104">
        <v>0</v>
      </c>
      <c r="AO104" s="3">
        <f t="shared" ref="AO104:AO105" si="63">100*AN104/$S104</f>
        <v>0</v>
      </c>
      <c r="AP104">
        <v>4</v>
      </c>
      <c r="AQ104" s="3">
        <f t="shared" ref="AQ104:AQ105" si="64">100*AP104/$S104</f>
        <v>2.3809523809523809</v>
      </c>
      <c r="AR104">
        <v>3</v>
      </c>
      <c r="AS104" s="3">
        <f t="shared" ref="AS104:AS105" si="65">100*AR104/$S104</f>
        <v>1.7857142857142858</v>
      </c>
      <c r="AT104" t="s">
        <v>208</v>
      </c>
      <c r="AV104"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55.909090909090899</v>
      </c>
      <c r="AW104" s="13">
        <f>2*(Мособлдума_партии[[#This Row],[6. Всероссийская политическая партия "ЕДИНАЯ РОССИЯ"]]-(AA$124/100)*Мособлдума_партии[[#This Row],[Число действительных бюллетеней]])</f>
        <v>73.8</v>
      </c>
      <c r="AX104" s="13">
        <f>(Мособлдума_партии[[#This Row],[Вброс]]+Мособлдума_партии[[#This Row],[Перекладывание]])/2</f>
        <v>64.854545454545445</v>
      </c>
      <c r="AY104" s="13">
        <f>Дума_партии[[#This Row],[Зона ответственности в сен. 2022 г.]]</f>
        <v>0</v>
      </c>
    </row>
    <row r="105" spans="2:51" x14ac:dyDescent="0.4">
      <c r="B105" t="s">
        <v>74</v>
      </c>
      <c r="C105" t="s">
        <v>207</v>
      </c>
      <c r="D105" t="s">
        <v>102</v>
      </c>
      <c r="E105" t="s">
        <v>206</v>
      </c>
      <c r="F105" s="10">
        <f t="shared" ca="1" si="51"/>
        <v>4252</v>
      </c>
      <c r="G105" s="1" t="str">
        <f>Дума_партии[[#This Row],[Местоположение]]</f>
        <v>Александровка псих. интернат</v>
      </c>
      <c r="H105">
        <v>245</v>
      </c>
      <c r="I105" s="10">
        <f>Мособлдума_партии[[#This Row],[Число избирателей, внесенных в список на момент окончания голосования]]</f>
        <v>245</v>
      </c>
      <c r="J105">
        <v>280</v>
      </c>
      <c r="K105" s="1"/>
      <c r="L105">
        <v>174</v>
      </c>
      <c r="M105">
        <v>0</v>
      </c>
      <c r="N105" s="3">
        <f t="shared" si="52"/>
        <v>71.020408163265301</v>
      </c>
      <c r="O105" s="3">
        <f t="shared" si="37"/>
        <v>0</v>
      </c>
      <c r="P105">
        <v>106</v>
      </c>
      <c r="Q105">
        <v>0</v>
      </c>
      <c r="R105">
        <v>174</v>
      </c>
      <c r="S105" s="1">
        <f t="shared" si="53"/>
        <v>174</v>
      </c>
      <c r="T105" s="3">
        <f t="shared" si="54"/>
        <v>0</v>
      </c>
      <c r="U105">
        <v>0</v>
      </c>
      <c r="V105" s="3">
        <f t="shared" si="55"/>
        <v>0</v>
      </c>
      <c r="W105">
        <v>174</v>
      </c>
      <c r="X105">
        <v>0</v>
      </c>
      <c r="Y105">
        <v>0</v>
      </c>
      <c r="Z105">
        <v>1</v>
      </c>
      <c r="AA105" s="3">
        <f t="shared" si="56"/>
        <v>0.57471264367816088</v>
      </c>
      <c r="AB105">
        <v>22</v>
      </c>
      <c r="AC105" s="3">
        <f t="shared" si="57"/>
        <v>12.64367816091954</v>
      </c>
      <c r="AD105">
        <v>13</v>
      </c>
      <c r="AE105" s="3">
        <f t="shared" si="58"/>
        <v>7.4712643678160919</v>
      </c>
      <c r="AF105">
        <v>5</v>
      </c>
      <c r="AG105" s="3">
        <f t="shared" si="59"/>
        <v>2.8735632183908044</v>
      </c>
      <c r="AH105">
        <v>23</v>
      </c>
      <c r="AI105" s="3">
        <f t="shared" si="60"/>
        <v>13.218390804597702</v>
      </c>
      <c r="AJ105">
        <v>86</v>
      </c>
      <c r="AK105" s="3">
        <f t="shared" si="61"/>
        <v>49.425287356321839</v>
      </c>
      <c r="AL105">
        <v>12</v>
      </c>
      <c r="AM105" s="3">
        <f t="shared" si="62"/>
        <v>6.8965517241379306</v>
      </c>
      <c r="AN105">
        <v>3</v>
      </c>
      <c r="AO105" s="3">
        <f t="shared" si="63"/>
        <v>1.7241379310344827</v>
      </c>
      <c r="AP105">
        <v>4</v>
      </c>
      <c r="AQ105" s="3">
        <f t="shared" si="64"/>
        <v>2.2988505747126435</v>
      </c>
      <c r="AR105">
        <v>5</v>
      </c>
      <c r="AS105" s="3">
        <f t="shared" si="65"/>
        <v>2.8735632183908044</v>
      </c>
      <c r="AT105" t="s">
        <v>208</v>
      </c>
      <c r="AV105" s="13">
        <f>Мособлдума_партии[[#This Row],[6. Всероссийская политическая партия "ЕДИНАЯ РОССИЯ"]]-((AA$124/100)/(1-(AA$124/100)))*(Мособлдума_партии[[#This Row],[Число действительных бюллетеней]]-Мособлдума_партии[[#This Row],[6. Всероссийская политическая партия "ЕДИНАЯ РОССИЯ"]])</f>
        <v>40.666666666666657</v>
      </c>
      <c r="AW105" s="13">
        <f>2*(Мособлдума_партии[[#This Row],[6. Всероссийская политическая партия "ЕДИНАЯ РОССИЯ"]]-(AA$124/100)*Мособлдума_партии[[#This Row],[Число действительных бюллетеней]])</f>
        <v>53.679999999999993</v>
      </c>
      <c r="AX105" s="13">
        <f>(Мособлдума_партии[[#This Row],[Вброс]]+Мособлдума_партии[[#This Row],[Перекладывание]])/2</f>
        <v>47.173333333333325</v>
      </c>
      <c r="AY105" s="13">
        <f>Дума_партии[[#This Row],[Зона ответственности в сен. 2022 г.]]</f>
        <v>0</v>
      </c>
    </row>
    <row r="106" spans="2:51" x14ac:dyDescent="0.4">
      <c r="B106" s="1" t="s">
        <v>95</v>
      </c>
      <c r="F106" s="1">
        <f ca="1">SUBTOTAL(103,Мособлдума_партии[УИК])</f>
        <v>104</v>
      </c>
      <c r="H106" s="1">
        <f>SUBTOTAL(109,Мособлдума_партии[Число избирателей, внесенных в список на момент окончания голосования])</f>
        <v>130768</v>
      </c>
      <c r="K106" s="1"/>
      <c r="L106" s="1">
        <f>SUBTOTAL(109,Мособлдума_партии[Число бюллетеней, выданных избирателям в помещении для голосования в день голосования])</f>
        <v>52060</v>
      </c>
      <c r="M106" s="1">
        <f>SUBTOTAL(109,Мособлдума_партии[Число бюллетеней, выданных избирателям, проголосовавшим вне помещения для голосования в день голосо])</f>
        <v>5447</v>
      </c>
      <c r="S106" s="1">
        <f>SUBTOTAL(109,Мособлдума_партии[Обнаружено])</f>
        <v>57485</v>
      </c>
      <c r="U106" s="1"/>
      <c r="Z106" s="1">
        <f>SUBTOTAL(109,Мособлдума_партии[1. ВСЕРОССИЙСКАЯ ПОЛИТИЧЕСКАЯ ПАРТИЯ "РОДИНА"])</f>
        <v>841</v>
      </c>
      <c r="AB106" s="1">
        <f>SUBTOTAL(109,Мособлдума_партии[2. Политическая партия ЛДПР – Либерально-демократическая партия России])</f>
        <v>5132</v>
      </c>
      <c r="AD106" s="1">
        <f>SUBTOTAL(109,Мособлдума_партии[3. Политическая партия "НОВЫЕ ЛЮДИ"])</f>
        <v>2918</v>
      </c>
      <c r="AF106" s="1">
        <f>SUBTOTAL(109,Мособлдума_партии[4. ПАРТИЯ ПЕНСИОНЕРОВ])</f>
        <v>2545</v>
      </c>
      <c r="AH106" s="1">
        <f>SUBTOTAL(109,Мособлдума_партии[5. Политическая партия "КОММУНИСТИЧЕСКАЯ ПАРТИЯ РОССИЙСКОЙ ФЕДЕРАЦИИ"])</f>
        <v>10135</v>
      </c>
      <c r="AJ106" s="1">
        <f>SUBTOTAL(109,Мособлдума_партии[6. Всероссийская политическая партия "ЕДИНАЯ РОССИЯ"])</f>
        <v>26801</v>
      </c>
      <c r="AL106" s="1">
        <f>SUBTOTAL(109,Мособлдума_партии[7. Политическая партия "Российская экологическая партия "ЗЕЛЁНЫЕ"])</f>
        <v>1062</v>
      </c>
      <c r="AN106" s="1">
        <f>SUBTOTAL(109,Мособлдума_партии[8. Политическая партия "Российская объединенная демократическая партия "ЯБЛОКО"])</f>
        <v>1407</v>
      </c>
      <c r="AP106" s="1">
        <f>SUBTOTAL(109,Мособлдума_партии[9. Политическая партия КОММУНИСТИЧЕСКАЯ ПАРТИЯ КОММУНИСТЫ РОССИИ])</f>
        <v>1070</v>
      </c>
      <c r="AR106" s="1">
        <f>SUBTOTAL(109,Мособлдума_партии[10. Партия СПРАВЕДЛИВАЯ РОССИЯ – ЗА ПРАВДУ])</f>
        <v>2828</v>
      </c>
      <c r="AV106" s="13">
        <f>SUBTOTAL(109,Мособлдума_партии[Вброс])</f>
        <v>12408.696969696965</v>
      </c>
      <c r="AW106" s="13">
        <f>SUBTOTAL(109,Мособлдума_партии[Перекладывание])</f>
        <v>16379.48</v>
      </c>
      <c r="AX106" s="13">
        <f>SUBTOTAL(109,Мособлдума_партии[Оценка числа бюллетеней, сфальсифицированных в пользу ЕР])</f>
        <v>14394.088484848482</v>
      </c>
    </row>
    <row r="107" spans="2:51" x14ac:dyDescent="0.4">
      <c r="B107" s="3"/>
      <c r="C107" s="3"/>
      <c r="D107" s="3"/>
      <c r="E107" s="3"/>
      <c r="I107" s="3"/>
      <c r="J107" s="3"/>
      <c r="L107" s="3" t="s">
        <v>52</v>
      </c>
      <c r="M107" s="3">
        <f>100*(L106+M106)/H106</f>
        <v>43.976355071577146</v>
      </c>
      <c r="O107" s="3"/>
      <c r="P107" s="3"/>
      <c r="Q107" s="3"/>
      <c r="R107" s="3"/>
      <c r="T107" s="3"/>
      <c r="V107" s="3"/>
      <c r="W107" s="3"/>
      <c r="X107" s="3"/>
      <c r="Y107" s="3"/>
      <c r="Z107" s="3">
        <f>100*Z106/$S106</f>
        <v>1.4629903453074715</v>
      </c>
      <c r="AA107" s="3"/>
      <c r="AB107" s="3">
        <f>100*AB106/$S106</f>
        <v>8.927546316430373</v>
      </c>
      <c r="AC107" s="3"/>
      <c r="AD107" s="3">
        <f>100*AD106/$S106</f>
        <v>5.0761068104722975</v>
      </c>
      <c r="AE107" s="3"/>
      <c r="AF107" s="3">
        <f>100*AF106/$S106</f>
        <v>4.4272418891884842</v>
      </c>
      <c r="AG107" s="3"/>
      <c r="AH107" s="3">
        <f>100*AH106/$S106</f>
        <v>17.63068626598243</v>
      </c>
      <c r="AI107" s="3"/>
      <c r="AJ107" s="3">
        <f>100*AJ106/$S106</f>
        <v>46.622597199269372</v>
      </c>
      <c r="AK107" s="3"/>
      <c r="AL107" s="3">
        <f>100*AL106/$S106</f>
        <v>1.8474384622075324</v>
      </c>
      <c r="AM107" s="3"/>
      <c r="AN107" s="3">
        <f>100*AN106/$S106</f>
        <v>2.4475950247890754</v>
      </c>
      <c r="AO107" s="3"/>
      <c r="AP107" s="3">
        <f>100*AP106/$S106</f>
        <v>1.8613551361224667</v>
      </c>
      <c r="AQ107" s="3"/>
      <c r="AR107" s="3">
        <f>100*AR106/$S106</f>
        <v>4.9195442289292863</v>
      </c>
      <c r="AV107" s="3">
        <f>AV106*100/Мособлдума_партии[[#Totals],[6. Всероссийская политическая партия "ЕДИНАЯ РОССИЯ"]]</f>
        <v>46.299380507059311</v>
      </c>
      <c r="AW107" s="3">
        <f>AW106*100/Мособлдума_партии[[#Totals],[6. Всероссийская политическая партия "ЕДИНАЯ РОССИЯ"]]</f>
        <v>61.115182269318311</v>
      </c>
      <c r="AX107" s="3">
        <f>AX106*100/Мособлдума_партии[[#Totals],[6. Всероссийская политическая партия "ЕДИНАЯ РОССИЯ"]]</f>
        <v>53.707281388188804</v>
      </c>
    </row>
    <row r="123" spans="27:27" x14ac:dyDescent="0.4">
      <c r="AA123" s="1" t="s">
        <v>225</v>
      </c>
    </row>
    <row r="124" spans="27:27" x14ac:dyDescent="0.4">
      <c r="AA124" s="12">
        <v>34</v>
      </c>
    </row>
    <row r="142" spans="27:27" x14ac:dyDescent="0.4">
      <c r="AA142" s="1" t="s">
        <v>297</v>
      </c>
    </row>
    <row r="143" spans="27:27" x14ac:dyDescent="0.4">
      <c r="AA143" s="1">
        <f>MAX($I2:$I105)</f>
        <v>3346</v>
      </c>
    </row>
  </sheetData>
  <phoneticPr fontId="3" type="noConversion"/>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2F2F0-39AE-45A6-B770-C9CA23C7D0E2}">
  <dimension ref="A1:AY143"/>
  <sheetViews>
    <sheetView topLeftCell="F1" zoomScale="70" zoomScaleNormal="70" workbookViewId="0">
      <pane ySplit="1" topLeftCell="A93" activePane="bottomLeft" state="frozen"/>
      <selection activeCell="B2" sqref="B2:E105"/>
      <selection pane="bottomLeft" activeCell="AB141" sqref="AB141"/>
    </sheetView>
  </sheetViews>
  <sheetFormatPr defaultRowHeight="14.15" x14ac:dyDescent="0.4"/>
  <cols>
    <col min="1" max="6" width="6.3046875" style="1" customWidth="1"/>
    <col min="7" max="7" width="16.765625" style="1" customWidth="1"/>
    <col min="8" max="8" width="7.53515625" style="1" customWidth="1"/>
    <col min="9" max="13" width="6.3046875" style="1" customWidth="1"/>
    <col min="14" max="15" width="6.3046875" style="3" customWidth="1"/>
    <col min="16" max="19" width="6.3046875" style="1" customWidth="1"/>
    <col min="20" max="20" width="6.3046875" style="3" customWidth="1"/>
    <col min="21" max="21" width="6.3046875" style="1" customWidth="1"/>
    <col min="22" max="22" width="6.3046875" style="3" customWidth="1"/>
    <col min="23" max="26" width="6.3046875" style="1" customWidth="1"/>
    <col min="27" max="27" width="6.3046875" style="3" customWidth="1"/>
    <col min="28" max="28" width="6.3046875" style="1" customWidth="1"/>
    <col min="29" max="29" width="6.3046875" style="3" customWidth="1"/>
    <col min="30" max="30" width="6.3046875" style="1" customWidth="1"/>
    <col min="31" max="31" width="6.3046875" style="3" customWidth="1"/>
    <col min="32" max="32" width="6.3046875" style="1" customWidth="1"/>
    <col min="33" max="33" width="6.3046875" style="3" customWidth="1"/>
    <col min="34" max="34" width="6.3046875" style="1" customWidth="1"/>
    <col min="35" max="35" width="6.3046875" style="3" customWidth="1"/>
    <col min="36" max="36" width="6.3046875" style="1" customWidth="1"/>
    <col min="37" max="39" width="6.3046875" style="3" customWidth="1"/>
    <col min="40" max="40" width="6.3046875" style="1" customWidth="1"/>
    <col min="41" max="41" width="6.3046875" style="3" customWidth="1"/>
    <col min="42" max="42" width="6.3046875" style="1" customWidth="1"/>
    <col min="43" max="43" width="6.3046875" style="3" customWidth="1"/>
    <col min="44" max="44" width="6.3046875" style="1" customWidth="1"/>
    <col min="45" max="45" width="6.3046875" style="3" customWidth="1"/>
    <col min="46" max="50" width="6.3046875" style="1" customWidth="1"/>
    <col min="51" max="51" width="15.765625" style="1" customWidth="1"/>
    <col min="52" max="16384" width="9.23046875" style="1"/>
  </cols>
  <sheetData>
    <row r="1" spans="1:51" x14ac:dyDescent="0.4">
      <c r="A1" s="1" t="s">
        <v>0</v>
      </c>
      <c r="B1" s="1" t="s">
        <v>1</v>
      </c>
      <c r="C1" s="1" t="s">
        <v>2</v>
      </c>
      <c r="D1" s="1" t="s">
        <v>3</v>
      </c>
      <c r="E1" s="1" t="s">
        <v>4</v>
      </c>
      <c r="F1" s="5" t="s">
        <v>98</v>
      </c>
      <c r="G1" s="5" t="s">
        <v>99</v>
      </c>
      <c r="H1" s="1" t="s">
        <v>5</v>
      </c>
      <c r="I1" s="1" t="s">
        <v>101</v>
      </c>
      <c r="J1" s="1" t="s">
        <v>6</v>
      </c>
      <c r="K1" s="1" t="s">
        <v>7</v>
      </c>
      <c r="L1" s="1" t="s">
        <v>8</v>
      </c>
      <c r="M1" s="1" t="s">
        <v>9</v>
      </c>
      <c r="N1" s="3" t="s">
        <v>10</v>
      </c>
      <c r="O1" s="3" t="s">
        <v>93</v>
      </c>
      <c r="P1" s="1" t="s">
        <v>12</v>
      </c>
      <c r="Q1" s="1" t="s">
        <v>13</v>
      </c>
      <c r="R1" s="1" t="s">
        <v>14</v>
      </c>
      <c r="S1" s="1" t="s">
        <v>15</v>
      </c>
      <c r="T1" s="8" t="s">
        <v>11</v>
      </c>
      <c r="U1" s="1" t="s">
        <v>16</v>
      </c>
      <c r="V1" s="8" t="s">
        <v>94</v>
      </c>
      <c r="W1" s="1" t="s">
        <v>17</v>
      </c>
      <c r="X1" s="1" t="s">
        <v>18</v>
      </c>
      <c r="Y1" s="1" t="s">
        <v>19</v>
      </c>
      <c r="Z1" s="1" t="s">
        <v>75</v>
      </c>
      <c r="AA1" s="3" t="s">
        <v>76</v>
      </c>
      <c r="AB1" s="1" t="s">
        <v>77</v>
      </c>
      <c r="AC1" s="3" t="s">
        <v>78</v>
      </c>
      <c r="AD1" s="1" t="s">
        <v>79</v>
      </c>
      <c r="AE1" s="3" t="s">
        <v>80</v>
      </c>
      <c r="AF1" s="1" t="s">
        <v>81</v>
      </c>
      <c r="AG1" s="3" t="s">
        <v>82</v>
      </c>
      <c r="AH1" s="1" t="s">
        <v>83</v>
      </c>
      <c r="AI1" s="3" t="s">
        <v>84</v>
      </c>
      <c r="AJ1" s="1" t="s">
        <v>85</v>
      </c>
      <c r="AK1" s="3" t="s">
        <v>86</v>
      </c>
      <c r="AL1" t="s">
        <v>210</v>
      </c>
      <c r="AM1" s="3" t="s">
        <v>211</v>
      </c>
      <c r="AN1" s="1" t="s">
        <v>87</v>
      </c>
      <c r="AO1" s="3" t="s">
        <v>88</v>
      </c>
      <c r="AP1" s="1" t="s">
        <v>89</v>
      </c>
      <c r="AQ1" s="3" t="s">
        <v>90</v>
      </c>
      <c r="AR1" s="1" t="s">
        <v>91</v>
      </c>
      <c r="AS1" s="3" t="s">
        <v>92</v>
      </c>
      <c r="AT1" s="1" t="s">
        <v>48</v>
      </c>
      <c r="AU1" s="9" t="s">
        <v>96</v>
      </c>
      <c r="AV1" s="14" t="s">
        <v>222</v>
      </c>
      <c r="AW1" s="14" t="s">
        <v>223</v>
      </c>
      <c r="AX1" s="14" t="s">
        <v>224</v>
      </c>
      <c r="AY1" s="1" t="s">
        <v>256</v>
      </c>
    </row>
    <row r="2" spans="1:51" x14ac:dyDescent="0.4">
      <c r="A2" t="s">
        <v>49</v>
      </c>
      <c r="B2" t="s">
        <v>50</v>
      </c>
      <c r="C2" t="s">
        <v>51</v>
      </c>
      <c r="D2" t="s">
        <v>102</v>
      </c>
      <c r="E2" t="s">
        <v>103</v>
      </c>
      <c r="F2" s="2">
        <f ca="1">SUMPRODUCT(MID(0&amp;E2, LARGE(INDEX(ISNUMBER(--MID(E2, ROW(INDIRECT("1:"&amp;LEN(E2))), 1)) * ROW(INDIRECT("1:"&amp;LEN(E2))), 0), ROW(INDIRECT("1:"&amp;LEN(E2))))+1, 1) * 10^ROW(INDIRECT("1:"&amp;LEN(E2)))/10)</f>
        <v>1742</v>
      </c>
      <c r="G2" s="2" t="str">
        <f>Дума_партии[[#This Row],[Местоположение]]</f>
        <v>Наро-Фоминск</v>
      </c>
      <c r="H2">
        <v>700</v>
      </c>
      <c r="I2" s="1">
        <f>Дума_одномандатный[[#This Row],[Число избирателей, внесенных в список избирателей на момент окончания голосования]]</f>
        <v>700</v>
      </c>
      <c r="J2">
        <v>600</v>
      </c>
      <c r="K2">
        <v>0</v>
      </c>
      <c r="L2">
        <v>272</v>
      </c>
      <c r="M2">
        <v>8</v>
      </c>
      <c r="N2" s="3">
        <f t="shared" ref="N2:N39" si="0">100*(L2+M2)/H2</f>
        <v>40</v>
      </c>
      <c r="O2" s="3">
        <f t="shared" ref="O2:O39" si="1">100*M2/H2</f>
        <v>1.1428571428571428</v>
      </c>
      <c r="P2">
        <v>320</v>
      </c>
      <c r="Q2">
        <v>8</v>
      </c>
      <c r="R2">
        <v>272</v>
      </c>
      <c r="S2" s="1">
        <f>Q2+R2</f>
        <v>280</v>
      </c>
      <c r="T2" s="3">
        <f>100*Q2/S2</f>
        <v>2.8571428571428572</v>
      </c>
      <c r="U2">
        <v>21</v>
      </c>
      <c r="V2" s="3">
        <f>100*U2/S2</f>
        <v>7.5</v>
      </c>
      <c r="W2">
        <v>259</v>
      </c>
      <c r="X2">
        <v>0</v>
      </c>
      <c r="Y2">
        <v>0</v>
      </c>
      <c r="Z2">
        <v>6</v>
      </c>
      <c r="AA2" s="3">
        <f>100*Z2/$S2</f>
        <v>2.1428571428571428</v>
      </c>
      <c r="AB2">
        <v>4</v>
      </c>
      <c r="AC2" s="3">
        <f>100*AB2/$S2</f>
        <v>1.4285714285714286</v>
      </c>
      <c r="AD2">
        <v>22</v>
      </c>
      <c r="AE2" s="3">
        <f>100*AD2/$S2</f>
        <v>7.8571428571428568</v>
      </c>
      <c r="AF2">
        <v>98</v>
      </c>
      <c r="AG2" s="3">
        <f>100*AF2/$S2</f>
        <v>35</v>
      </c>
      <c r="AH2">
        <v>32</v>
      </c>
      <c r="AI2" s="3">
        <f>100*AH2/$S2</f>
        <v>11.428571428571429</v>
      </c>
      <c r="AJ2">
        <v>19</v>
      </c>
      <c r="AK2" s="3">
        <f>100*AJ2/$S2</f>
        <v>6.7857142857142856</v>
      </c>
      <c r="AL2">
        <v>1</v>
      </c>
      <c r="AM2" s="3">
        <f>100*AL2/$S2</f>
        <v>0.35714285714285715</v>
      </c>
      <c r="AN2">
        <v>61</v>
      </c>
      <c r="AO2" s="3">
        <f>100*AN2/$S2</f>
        <v>21.785714285714285</v>
      </c>
      <c r="AP2">
        <v>11</v>
      </c>
      <c r="AQ2" s="3">
        <f>100*AP2/$S2</f>
        <v>3.9285714285714284</v>
      </c>
      <c r="AR2">
        <v>5</v>
      </c>
      <c r="AS2" s="3">
        <f>100*AR2/$S2</f>
        <v>1.7857142857142858</v>
      </c>
      <c r="AT2" t="s">
        <v>209</v>
      </c>
      <c r="AV2"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15.060606060606048</v>
      </c>
      <c r="AW2" s="13">
        <f>2*(Дума_одномандатный[[#This Row],[Майданов Денис Васильевич]]-(AB$124/100)*Дума_одномандатный[[#This Row],[Число действительных избирательных бюллетеней]])</f>
        <v>19.879999999999995</v>
      </c>
      <c r="AX2" s="13">
        <f>(Дума_одномандатный[[#This Row],[Вброс]]+Дума_одномандатный[[#This Row],[Перекладывание]])/2</f>
        <v>17.470303030303022</v>
      </c>
      <c r="AY2" s="13">
        <f>Дума_партии[[#This Row],[Зона ответственности в сен. 2022 г.]]</f>
        <v>0</v>
      </c>
    </row>
    <row r="3" spans="1:51" x14ac:dyDescent="0.4">
      <c r="A3" t="s">
        <v>49</v>
      </c>
      <c r="B3" t="s">
        <v>50</v>
      </c>
      <c r="C3" t="s">
        <v>51</v>
      </c>
      <c r="D3" t="s">
        <v>102</v>
      </c>
      <c r="E3" t="s">
        <v>104</v>
      </c>
      <c r="F3" s="1">
        <f t="shared" ref="F3:F39" ca="1" si="2">SUMPRODUCT(MID(0&amp;E3, LARGE(INDEX(ISNUMBER(--MID(E3, ROW(INDIRECT("1:"&amp;LEN(E3))), 1)) * ROW(INDIRECT("1:"&amp;LEN(E3))), 0), ROW(INDIRECT("1:"&amp;LEN(E3))))+1, 1) * 10^ROW(INDIRECT("1:"&amp;LEN(E3)))/10)</f>
        <v>1743</v>
      </c>
      <c r="G3" s="2" t="str">
        <f>Дума_партии[[#This Row],[Местоположение]]</f>
        <v>Наро-Фоминск</v>
      </c>
      <c r="H3">
        <v>1335</v>
      </c>
      <c r="I3" s="1">
        <f>Дума_одномандатный[[#This Row],[Число избирателей, внесенных в список избирателей на момент окончания голосования]]</f>
        <v>1335</v>
      </c>
      <c r="J3">
        <v>1300</v>
      </c>
      <c r="K3">
        <v>0</v>
      </c>
      <c r="L3">
        <v>510</v>
      </c>
      <c r="M3">
        <v>20</v>
      </c>
      <c r="N3" s="3">
        <f t="shared" si="0"/>
        <v>39.700374531835209</v>
      </c>
      <c r="O3" s="3">
        <f t="shared" si="1"/>
        <v>1.4981273408239701</v>
      </c>
      <c r="P3">
        <v>770</v>
      </c>
      <c r="Q3">
        <v>20</v>
      </c>
      <c r="R3">
        <v>510</v>
      </c>
      <c r="S3" s="1">
        <f t="shared" ref="S3:S39" si="3">Q3+R3</f>
        <v>530</v>
      </c>
      <c r="T3" s="3">
        <f t="shared" ref="T3:T39" si="4">100*Q3/S3</f>
        <v>3.7735849056603774</v>
      </c>
      <c r="U3">
        <v>61</v>
      </c>
      <c r="V3" s="3">
        <f t="shared" ref="V3:V39" si="5">100*U3/S3</f>
        <v>11.509433962264151</v>
      </c>
      <c r="W3">
        <v>469</v>
      </c>
      <c r="X3">
        <v>0</v>
      </c>
      <c r="Y3">
        <v>0</v>
      </c>
      <c r="Z3">
        <v>17</v>
      </c>
      <c r="AA3" s="3">
        <f t="shared" ref="AA3:AC18" si="6">100*Z3/$S3</f>
        <v>3.2075471698113209</v>
      </c>
      <c r="AB3">
        <v>22</v>
      </c>
      <c r="AC3" s="3">
        <f t="shared" si="6"/>
        <v>4.1509433962264151</v>
      </c>
      <c r="AD3">
        <v>47</v>
      </c>
      <c r="AE3" s="3">
        <f t="shared" ref="AE3:AG18" si="7">100*AD3/$S3</f>
        <v>8.8679245283018862</v>
      </c>
      <c r="AF3">
        <v>164</v>
      </c>
      <c r="AG3" s="3">
        <f t="shared" si="7"/>
        <v>30.943396226415093</v>
      </c>
      <c r="AH3">
        <v>71</v>
      </c>
      <c r="AI3" s="3">
        <f t="shared" ref="AI3:AK18" si="8">100*AH3/$S3</f>
        <v>13.39622641509434</v>
      </c>
      <c r="AJ3">
        <v>44</v>
      </c>
      <c r="AK3" s="3">
        <f t="shared" si="8"/>
        <v>8.3018867924528301</v>
      </c>
      <c r="AL3">
        <v>11</v>
      </c>
      <c r="AM3" s="3">
        <f t="shared" ref="AM3:AM33" si="9">100*AL3/$S3</f>
        <v>2.0754716981132075</v>
      </c>
      <c r="AN3">
        <v>68</v>
      </c>
      <c r="AO3" s="3">
        <f t="shared" ref="AO3:AQ18" si="10">100*AN3/$S3</f>
        <v>12.830188679245284</v>
      </c>
      <c r="AP3">
        <v>16</v>
      </c>
      <c r="AQ3" s="3">
        <f t="shared" si="10"/>
        <v>3.0188679245283021</v>
      </c>
      <c r="AR3">
        <v>9</v>
      </c>
      <c r="AS3" s="3">
        <f t="shared" ref="AS3:AS39" si="11">100*AR3/$S3</f>
        <v>1.6981132075471699</v>
      </c>
      <c r="AT3" t="s">
        <v>209</v>
      </c>
      <c r="AV3"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6.8787878787878469</v>
      </c>
      <c r="AW3" s="13">
        <f>2*(Дума_одномандатный[[#This Row],[Майданов Денис Васильевич]]-(AB$124/100)*Дума_одномандатный[[#This Row],[Число действительных избирательных бюллетеней]])</f>
        <v>9.0799999999999841</v>
      </c>
      <c r="AX3" s="13">
        <f>(Дума_одномандатный[[#This Row],[Вброс]]+Дума_одномандатный[[#This Row],[Перекладывание]])/2</f>
        <v>7.9793939393939155</v>
      </c>
      <c r="AY3" s="13">
        <f>Дума_партии[[#This Row],[Зона ответственности в сен. 2022 г.]]</f>
        <v>0</v>
      </c>
    </row>
    <row r="4" spans="1:51" x14ac:dyDescent="0.4">
      <c r="A4" t="s">
        <v>49</v>
      </c>
      <c r="B4" t="s">
        <v>50</v>
      </c>
      <c r="C4" t="s">
        <v>51</v>
      </c>
      <c r="D4" t="s">
        <v>102</v>
      </c>
      <c r="E4" t="s">
        <v>105</v>
      </c>
      <c r="F4" s="1">
        <f t="shared" ca="1" si="2"/>
        <v>1744</v>
      </c>
      <c r="G4" s="2" t="str">
        <f>Дума_партии[[#This Row],[Местоположение]]</f>
        <v>Наро-Фоминск</v>
      </c>
      <c r="H4">
        <v>1089</v>
      </c>
      <c r="I4" s="1">
        <f>Дума_одномандатный[[#This Row],[Число избирателей, внесенных в список избирателей на момент окончания голосования]]</f>
        <v>1089</v>
      </c>
      <c r="J4">
        <v>1000</v>
      </c>
      <c r="K4">
        <v>0</v>
      </c>
      <c r="L4">
        <v>428</v>
      </c>
      <c r="M4">
        <v>6</v>
      </c>
      <c r="N4" s="3">
        <f t="shared" si="0"/>
        <v>39.85307621671258</v>
      </c>
      <c r="O4" s="3">
        <f t="shared" si="1"/>
        <v>0.55096418732782371</v>
      </c>
      <c r="P4">
        <v>566</v>
      </c>
      <c r="Q4">
        <v>6</v>
      </c>
      <c r="R4">
        <v>428</v>
      </c>
      <c r="S4" s="1">
        <f t="shared" si="3"/>
        <v>434</v>
      </c>
      <c r="T4" s="3">
        <f t="shared" si="4"/>
        <v>1.3824884792626728</v>
      </c>
      <c r="U4">
        <v>24</v>
      </c>
      <c r="V4" s="3">
        <f t="shared" si="5"/>
        <v>5.5299539170506913</v>
      </c>
      <c r="W4">
        <v>410</v>
      </c>
      <c r="X4">
        <v>0</v>
      </c>
      <c r="Y4">
        <v>0</v>
      </c>
      <c r="Z4">
        <v>11</v>
      </c>
      <c r="AA4" s="3">
        <f t="shared" si="6"/>
        <v>2.5345622119815667</v>
      </c>
      <c r="AB4">
        <v>20</v>
      </c>
      <c r="AC4" s="3">
        <f t="shared" si="6"/>
        <v>4.6082949308755756</v>
      </c>
      <c r="AD4">
        <v>27</v>
      </c>
      <c r="AE4" s="3">
        <f t="shared" si="7"/>
        <v>6.2211981566820276</v>
      </c>
      <c r="AF4">
        <v>200</v>
      </c>
      <c r="AG4" s="3">
        <f t="shared" si="7"/>
        <v>46.082949308755758</v>
      </c>
      <c r="AH4">
        <v>43</v>
      </c>
      <c r="AI4" s="3">
        <f t="shared" si="8"/>
        <v>9.9078341013824893</v>
      </c>
      <c r="AJ4">
        <v>41</v>
      </c>
      <c r="AK4" s="3">
        <f t="shared" si="8"/>
        <v>9.4470046082949306</v>
      </c>
      <c r="AL4">
        <v>7</v>
      </c>
      <c r="AM4" s="3">
        <f t="shared" si="9"/>
        <v>1.6129032258064515</v>
      </c>
      <c r="AN4">
        <v>39</v>
      </c>
      <c r="AO4" s="3">
        <f t="shared" si="10"/>
        <v>8.9861751152073737</v>
      </c>
      <c r="AP4">
        <v>16</v>
      </c>
      <c r="AQ4" s="3">
        <f t="shared" si="10"/>
        <v>3.6866359447004609</v>
      </c>
      <c r="AR4">
        <v>6</v>
      </c>
      <c r="AS4" s="3">
        <f t="shared" si="11"/>
        <v>1.3824884792626728</v>
      </c>
      <c r="AT4" t="s">
        <v>209</v>
      </c>
      <c r="AV4"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91.818181818181799</v>
      </c>
      <c r="AW4" s="13">
        <f>2*(Дума_одномандатный[[#This Row],[Майданов Денис Васильевич]]-(AB$124/100)*Дума_одномандатный[[#This Row],[Число действительных избирательных бюллетеней]])</f>
        <v>121.19999999999999</v>
      </c>
      <c r="AX4" s="13">
        <f>(Дума_одномандатный[[#This Row],[Вброс]]+Дума_одномандатный[[#This Row],[Перекладывание]])/2</f>
        <v>106.5090909090909</v>
      </c>
      <c r="AY4" s="13">
        <f>Дума_партии[[#This Row],[Зона ответственности в сен. 2022 г.]]</f>
        <v>0</v>
      </c>
    </row>
    <row r="5" spans="1:51" x14ac:dyDescent="0.4">
      <c r="A5" t="s">
        <v>49</v>
      </c>
      <c r="B5" t="s">
        <v>50</v>
      </c>
      <c r="C5" t="s">
        <v>51</v>
      </c>
      <c r="D5" t="s">
        <v>102</v>
      </c>
      <c r="E5" t="s">
        <v>106</v>
      </c>
      <c r="F5" s="1">
        <f t="shared" ca="1" si="2"/>
        <v>1745</v>
      </c>
      <c r="G5" s="2" t="str">
        <f>Дума_партии[[#This Row],[Местоположение]]</f>
        <v>Наро-Фоминск</v>
      </c>
      <c r="H5">
        <v>1509</v>
      </c>
      <c r="I5" s="1">
        <f>Дума_одномандатный[[#This Row],[Число избирателей, внесенных в список избирателей на момент окончания голосования]]</f>
        <v>1509</v>
      </c>
      <c r="J5">
        <v>1500</v>
      </c>
      <c r="K5">
        <v>0</v>
      </c>
      <c r="L5">
        <v>605</v>
      </c>
      <c r="M5">
        <v>10</v>
      </c>
      <c r="N5" s="3">
        <f t="shared" si="0"/>
        <v>40.755467196819083</v>
      </c>
      <c r="O5" s="3">
        <f t="shared" si="1"/>
        <v>0.66269052352551361</v>
      </c>
      <c r="P5">
        <v>885</v>
      </c>
      <c r="Q5">
        <v>10</v>
      </c>
      <c r="R5">
        <v>605</v>
      </c>
      <c r="S5" s="1">
        <f t="shared" si="3"/>
        <v>615</v>
      </c>
      <c r="T5" s="3">
        <f t="shared" si="4"/>
        <v>1.6260162601626016</v>
      </c>
      <c r="U5">
        <v>48</v>
      </c>
      <c r="V5" s="3">
        <f t="shared" si="5"/>
        <v>7.8048780487804876</v>
      </c>
      <c r="W5">
        <v>567</v>
      </c>
      <c r="X5">
        <v>0</v>
      </c>
      <c r="Y5">
        <v>0</v>
      </c>
      <c r="Z5">
        <v>24</v>
      </c>
      <c r="AA5" s="3">
        <f t="shared" si="6"/>
        <v>3.9024390243902438</v>
      </c>
      <c r="AB5">
        <v>35</v>
      </c>
      <c r="AC5" s="3">
        <f t="shared" si="6"/>
        <v>5.691056910569106</v>
      </c>
      <c r="AD5">
        <v>45</v>
      </c>
      <c r="AE5" s="3">
        <f t="shared" si="7"/>
        <v>7.3170731707317076</v>
      </c>
      <c r="AF5">
        <v>212</v>
      </c>
      <c r="AG5" s="3">
        <f t="shared" si="7"/>
        <v>34.471544715447152</v>
      </c>
      <c r="AH5">
        <v>66</v>
      </c>
      <c r="AI5" s="3">
        <f t="shared" si="8"/>
        <v>10.731707317073171</v>
      </c>
      <c r="AJ5">
        <v>48</v>
      </c>
      <c r="AK5" s="3">
        <f t="shared" si="8"/>
        <v>7.8048780487804876</v>
      </c>
      <c r="AL5">
        <v>6</v>
      </c>
      <c r="AM5" s="3">
        <f t="shared" si="9"/>
        <v>0.97560975609756095</v>
      </c>
      <c r="AN5">
        <v>94</v>
      </c>
      <c r="AO5" s="3">
        <f t="shared" si="10"/>
        <v>15.284552845528456</v>
      </c>
      <c r="AP5">
        <v>26</v>
      </c>
      <c r="AQ5" s="3">
        <f t="shared" si="10"/>
        <v>4.2276422764227641</v>
      </c>
      <c r="AR5">
        <v>11</v>
      </c>
      <c r="AS5" s="3">
        <f t="shared" si="11"/>
        <v>1.7886178861788617</v>
      </c>
      <c r="AT5" t="s">
        <v>209</v>
      </c>
      <c r="AV5"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29.121212121212096</v>
      </c>
      <c r="AW5" s="13">
        <f>2*(Дума_одномандатный[[#This Row],[Майданов Денис Васильевич]]-(AB$124/100)*Дума_одномандатный[[#This Row],[Число действительных избирательных бюллетеней]])</f>
        <v>38.44</v>
      </c>
      <c r="AX5" s="13">
        <f>(Дума_одномандатный[[#This Row],[Вброс]]+Дума_одномандатный[[#This Row],[Перекладывание]])/2</f>
        <v>33.780606060606047</v>
      </c>
      <c r="AY5" s="13">
        <f>Дума_партии[[#This Row],[Зона ответственности в сен. 2022 г.]]</f>
        <v>0</v>
      </c>
    </row>
    <row r="6" spans="1:51" x14ac:dyDescent="0.4">
      <c r="A6" t="s">
        <v>49</v>
      </c>
      <c r="B6" t="s">
        <v>50</v>
      </c>
      <c r="C6" t="s">
        <v>51</v>
      </c>
      <c r="D6" t="s">
        <v>102</v>
      </c>
      <c r="E6" t="s">
        <v>107</v>
      </c>
      <c r="F6" s="1">
        <f t="shared" ca="1" si="2"/>
        <v>1746</v>
      </c>
      <c r="G6" s="2" t="str">
        <f>Дума_партии[[#This Row],[Местоположение]]</f>
        <v>Наро-Фоминск</v>
      </c>
      <c r="H6">
        <v>1477</v>
      </c>
      <c r="I6" s="1">
        <f>Дума_одномандатный[[#This Row],[Число избирателей, внесенных в список избирателей на момент окончания голосования]]</f>
        <v>1477</v>
      </c>
      <c r="J6">
        <v>1400</v>
      </c>
      <c r="K6">
        <v>0</v>
      </c>
      <c r="L6">
        <v>490</v>
      </c>
      <c r="M6">
        <v>4</v>
      </c>
      <c r="N6" s="3">
        <f t="shared" si="0"/>
        <v>33.446174678402166</v>
      </c>
      <c r="O6" s="3">
        <f t="shared" si="1"/>
        <v>0.27081922816519971</v>
      </c>
      <c r="P6">
        <v>906</v>
      </c>
      <c r="Q6">
        <v>4</v>
      </c>
      <c r="R6">
        <v>490</v>
      </c>
      <c r="S6" s="1">
        <f t="shared" si="3"/>
        <v>494</v>
      </c>
      <c r="T6" s="3">
        <f t="shared" si="4"/>
        <v>0.80971659919028338</v>
      </c>
      <c r="U6">
        <v>20</v>
      </c>
      <c r="V6" s="3">
        <f t="shared" si="5"/>
        <v>4.048582995951417</v>
      </c>
      <c r="W6">
        <v>474</v>
      </c>
      <c r="X6">
        <v>0</v>
      </c>
      <c r="Y6">
        <v>0</v>
      </c>
      <c r="Z6">
        <v>16</v>
      </c>
      <c r="AA6" s="3">
        <f t="shared" si="6"/>
        <v>3.2388663967611335</v>
      </c>
      <c r="AB6">
        <v>29</v>
      </c>
      <c r="AC6" s="3">
        <f t="shared" si="6"/>
        <v>5.8704453441295543</v>
      </c>
      <c r="AD6">
        <v>44</v>
      </c>
      <c r="AE6" s="3">
        <f t="shared" si="7"/>
        <v>8.9068825910931171</v>
      </c>
      <c r="AF6">
        <v>250</v>
      </c>
      <c r="AG6" s="3">
        <f t="shared" si="7"/>
        <v>50.607287449392715</v>
      </c>
      <c r="AH6">
        <v>48</v>
      </c>
      <c r="AI6" s="3">
        <f t="shared" si="8"/>
        <v>9.7165991902834001</v>
      </c>
      <c r="AJ6">
        <v>32</v>
      </c>
      <c r="AK6" s="3">
        <f t="shared" si="8"/>
        <v>6.4777327935222671</v>
      </c>
      <c r="AL6">
        <v>8</v>
      </c>
      <c r="AM6" s="3">
        <f t="shared" si="9"/>
        <v>1.6194331983805668</v>
      </c>
      <c r="AN6">
        <v>17</v>
      </c>
      <c r="AO6" s="3">
        <f t="shared" si="10"/>
        <v>3.4412955465587043</v>
      </c>
      <c r="AP6">
        <v>20</v>
      </c>
      <c r="AQ6" s="3">
        <f t="shared" si="10"/>
        <v>4.048582995951417</v>
      </c>
      <c r="AR6">
        <v>10</v>
      </c>
      <c r="AS6" s="3">
        <f t="shared" si="11"/>
        <v>2.0242914979757085</v>
      </c>
      <c r="AT6" t="s">
        <v>209</v>
      </c>
      <c r="AV6"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134.60606060606057</v>
      </c>
      <c r="AW6" s="13">
        <f>2*(Дума_одномандатный[[#This Row],[Майданов Денис Васильевич]]-(AB$124/100)*Дума_одномандатный[[#This Row],[Число действительных избирательных бюллетеней]])</f>
        <v>177.67999999999995</v>
      </c>
      <c r="AX6" s="13">
        <f>(Дума_одномандатный[[#This Row],[Вброс]]+Дума_одномандатный[[#This Row],[Перекладывание]])/2</f>
        <v>156.14303030303026</v>
      </c>
      <c r="AY6" s="13">
        <f>Дума_партии[[#This Row],[Зона ответственности в сен. 2022 г.]]</f>
        <v>0</v>
      </c>
    </row>
    <row r="7" spans="1:51" x14ac:dyDescent="0.4">
      <c r="A7" t="s">
        <v>49</v>
      </c>
      <c r="B7" t="s">
        <v>50</v>
      </c>
      <c r="C7" t="s">
        <v>51</v>
      </c>
      <c r="D7" t="s">
        <v>102</v>
      </c>
      <c r="E7" t="s">
        <v>108</v>
      </c>
      <c r="F7" s="1">
        <f t="shared" ca="1" si="2"/>
        <v>1747</v>
      </c>
      <c r="G7" s="1" t="str">
        <f>Дума_партии[[#This Row],[Местоположение]]</f>
        <v>Наро-Фоминск</v>
      </c>
      <c r="H7">
        <v>1309</v>
      </c>
      <c r="I7" s="1">
        <f>Дума_одномандатный[[#This Row],[Число избирателей, внесенных в список избирателей на момент окончания голосования]]</f>
        <v>1309</v>
      </c>
      <c r="J7">
        <v>1200</v>
      </c>
      <c r="K7">
        <v>0</v>
      </c>
      <c r="L7">
        <v>549</v>
      </c>
      <c r="M7">
        <v>6</v>
      </c>
      <c r="N7" s="3">
        <f t="shared" si="0"/>
        <v>42.398777692895337</v>
      </c>
      <c r="O7" s="3">
        <f t="shared" si="1"/>
        <v>0.45836516424751717</v>
      </c>
      <c r="P7">
        <v>645</v>
      </c>
      <c r="Q7">
        <v>6</v>
      </c>
      <c r="R7">
        <v>549</v>
      </c>
      <c r="S7" s="1">
        <f t="shared" si="3"/>
        <v>555</v>
      </c>
      <c r="T7" s="3">
        <f t="shared" si="4"/>
        <v>1.0810810810810811</v>
      </c>
      <c r="U7">
        <v>54</v>
      </c>
      <c r="V7" s="3">
        <f t="shared" si="5"/>
        <v>9.7297297297297298</v>
      </c>
      <c r="W7">
        <v>501</v>
      </c>
      <c r="X7">
        <v>0</v>
      </c>
      <c r="Y7">
        <v>0</v>
      </c>
      <c r="Z7">
        <v>19</v>
      </c>
      <c r="AA7" s="3">
        <f t="shared" si="6"/>
        <v>3.4234234234234235</v>
      </c>
      <c r="AB7">
        <v>34</v>
      </c>
      <c r="AC7" s="3">
        <f t="shared" si="6"/>
        <v>6.1261261261261257</v>
      </c>
      <c r="AD7">
        <v>29</v>
      </c>
      <c r="AE7" s="3">
        <f t="shared" si="7"/>
        <v>5.2252252252252251</v>
      </c>
      <c r="AF7">
        <v>181</v>
      </c>
      <c r="AG7" s="3">
        <f t="shared" si="7"/>
        <v>32.612612612612615</v>
      </c>
      <c r="AH7">
        <v>74</v>
      </c>
      <c r="AI7" s="3">
        <f t="shared" si="8"/>
        <v>13.333333333333334</v>
      </c>
      <c r="AJ7">
        <v>40</v>
      </c>
      <c r="AK7" s="3">
        <f t="shared" si="8"/>
        <v>7.2072072072072073</v>
      </c>
      <c r="AL7">
        <v>6</v>
      </c>
      <c r="AM7" s="3">
        <f t="shared" si="9"/>
        <v>1.0810810810810811</v>
      </c>
      <c r="AN7">
        <v>83</v>
      </c>
      <c r="AO7" s="3">
        <f t="shared" si="10"/>
        <v>14.954954954954955</v>
      </c>
      <c r="AP7">
        <v>27</v>
      </c>
      <c r="AQ7" s="3">
        <f t="shared" si="10"/>
        <v>4.8648648648648649</v>
      </c>
      <c r="AR7">
        <v>8</v>
      </c>
      <c r="AS7" s="3">
        <f t="shared" si="11"/>
        <v>1.4414414414414414</v>
      </c>
      <c r="AT7" t="s">
        <v>209</v>
      </c>
      <c r="AV7"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16.151515151515127</v>
      </c>
      <c r="AW7" s="13">
        <f>2*(Дума_одномандатный[[#This Row],[Майданов Денис Васильевич]]-(AB$124/100)*Дума_одномандатный[[#This Row],[Число действительных избирательных бюллетеней]])</f>
        <v>21.319999999999993</v>
      </c>
      <c r="AX7" s="13">
        <f>(Дума_одномандатный[[#This Row],[Вброс]]+Дума_одномандатный[[#This Row],[Перекладывание]])/2</f>
        <v>18.73575757575756</v>
      </c>
      <c r="AY7" s="13">
        <f>Дума_партии[[#This Row],[Зона ответственности в сен. 2022 г.]]</f>
        <v>0</v>
      </c>
    </row>
    <row r="8" spans="1:51" x14ac:dyDescent="0.4">
      <c r="A8" t="s">
        <v>49</v>
      </c>
      <c r="B8" t="s">
        <v>50</v>
      </c>
      <c r="C8" t="s">
        <v>51</v>
      </c>
      <c r="D8" t="s">
        <v>102</v>
      </c>
      <c r="E8" t="s">
        <v>109</v>
      </c>
      <c r="F8" s="1">
        <f t="shared" ca="1" si="2"/>
        <v>1748</v>
      </c>
      <c r="G8" s="1" t="str">
        <f>Дума_партии[[#This Row],[Местоположение]]</f>
        <v>Наро-Фоминск</v>
      </c>
      <c r="H8">
        <v>1113</v>
      </c>
      <c r="I8" s="1">
        <f>Дума_одномандатный[[#This Row],[Число избирателей, внесенных в список избирателей на момент окончания голосования]]</f>
        <v>1113</v>
      </c>
      <c r="J8">
        <v>1100</v>
      </c>
      <c r="K8">
        <v>0</v>
      </c>
      <c r="L8">
        <v>467</v>
      </c>
      <c r="M8">
        <v>14</v>
      </c>
      <c r="N8" s="3">
        <f t="shared" si="0"/>
        <v>43.21653189577718</v>
      </c>
      <c r="O8" s="3">
        <f t="shared" si="1"/>
        <v>1.2578616352201257</v>
      </c>
      <c r="P8">
        <v>619</v>
      </c>
      <c r="Q8">
        <v>14</v>
      </c>
      <c r="R8">
        <v>466</v>
      </c>
      <c r="S8" s="1">
        <f t="shared" si="3"/>
        <v>480</v>
      </c>
      <c r="T8" s="3">
        <f t="shared" si="4"/>
        <v>2.9166666666666665</v>
      </c>
      <c r="U8">
        <v>29</v>
      </c>
      <c r="V8" s="3">
        <f t="shared" si="5"/>
        <v>6.041666666666667</v>
      </c>
      <c r="W8">
        <v>451</v>
      </c>
      <c r="X8">
        <v>0</v>
      </c>
      <c r="Y8">
        <v>0</v>
      </c>
      <c r="Z8">
        <v>18</v>
      </c>
      <c r="AA8" s="3">
        <f t="shared" si="6"/>
        <v>3.75</v>
      </c>
      <c r="AB8">
        <v>38</v>
      </c>
      <c r="AC8" s="3">
        <f t="shared" si="6"/>
        <v>7.916666666666667</v>
      </c>
      <c r="AD8">
        <v>29</v>
      </c>
      <c r="AE8" s="3">
        <f t="shared" si="7"/>
        <v>6.041666666666667</v>
      </c>
      <c r="AF8">
        <v>153</v>
      </c>
      <c r="AG8" s="3">
        <f t="shared" si="7"/>
        <v>31.875</v>
      </c>
      <c r="AH8">
        <v>58</v>
      </c>
      <c r="AI8" s="3">
        <f t="shared" si="8"/>
        <v>12.083333333333334</v>
      </c>
      <c r="AJ8">
        <v>44</v>
      </c>
      <c r="AK8" s="3">
        <f t="shared" si="8"/>
        <v>9.1666666666666661</v>
      </c>
      <c r="AL8">
        <v>7</v>
      </c>
      <c r="AM8" s="3">
        <f t="shared" si="9"/>
        <v>1.4583333333333333</v>
      </c>
      <c r="AN8">
        <v>77</v>
      </c>
      <c r="AO8" s="3">
        <f t="shared" si="10"/>
        <v>16.041666666666668</v>
      </c>
      <c r="AP8">
        <v>17</v>
      </c>
      <c r="AQ8" s="3">
        <f t="shared" si="10"/>
        <v>3.5416666666666665</v>
      </c>
      <c r="AR8">
        <v>10</v>
      </c>
      <c r="AS8" s="3">
        <f t="shared" si="11"/>
        <v>2.0833333333333335</v>
      </c>
      <c r="AT8" t="s">
        <v>209</v>
      </c>
      <c r="AV8"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-0.51515151515155821</v>
      </c>
      <c r="AW8" s="13">
        <f>2*(Дума_одномандатный[[#This Row],[Майданов Денис Васильевич]]-(AB$124/100)*Дума_одномандатный[[#This Row],[Число действительных избирательных бюллетеней]])</f>
        <v>-0.68000000000000682</v>
      </c>
      <c r="AX8" s="13">
        <f>(Дума_одномандатный[[#This Row],[Вброс]]+Дума_одномандатный[[#This Row],[Перекладывание]])/2</f>
        <v>-0.59757575757578252</v>
      </c>
      <c r="AY8" s="13">
        <f>Дума_партии[[#This Row],[Зона ответственности в сен. 2022 г.]]</f>
        <v>0</v>
      </c>
    </row>
    <row r="9" spans="1:51" x14ac:dyDescent="0.4">
      <c r="A9" t="s">
        <v>49</v>
      </c>
      <c r="B9" t="s">
        <v>50</v>
      </c>
      <c r="C9" t="s">
        <v>51</v>
      </c>
      <c r="D9" t="s">
        <v>102</v>
      </c>
      <c r="E9" t="s">
        <v>110</v>
      </c>
      <c r="F9" s="1">
        <f t="shared" ca="1" si="2"/>
        <v>1749</v>
      </c>
      <c r="G9" s="1" t="str">
        <f>Дума_партии[[#This Row],[Местоположение]]</f>
        <v>Наро-Фоминск</v>
      </c>
      <c r="H9">
        <v>1723</v>
      </c>
      <c r="I9" s="1">
        <f>Дума_одномандатный[[#This Row],[Число избирателей, внесенных в список избирателей на момент окончания голосования]]</f>
        <v>1723</v>
      </c>
      <c r="J9">
        <v>1500</v>
      </c>
      <c r="K9">
        <v>0</v>
      </c>
      <c r="L9">
        <v>658</v>
      </c>
      <c r="M9">
        <v>29</v>
      </c>
      <c r="N9" s="3">
        <f t="shared" si="0"/>
        <v>39.872315728380734</v>
      </c>
      <c r="O9" s="3">
        <f t="shared" si="1"/>
        <v>1.6831108531630876</v>
      </c>
      <c r="P9">
        <v>813</v>
      </c>
      <c r="Q9">
        <v>29</v>
      </c>
      <c r="R9">
        <v>658</v>
      </c>
      <c r="S9" s="1">
        <f t="shared" si="3"/>
        <v>687</v>
      </c>
      <c r="T9" s="3">
        <f t="shared" si="4"/>
        <v>4.2212518195050945</v>
      </c>
      <c r="U9">
        <v>57</v>
      </c>
      <c r="V9" s="3">
        <f t="shared" si="5"/>
        <v>8.2969432314410483</v>
      </c>
      <c r="W9">
        <v>630</v>
      </c>
      <c r="X9">
        <v>0</v>
      </c>
      <c r="Y9">
        <v>0</v>
      </c>
      <c r="Z9">
        <v>24</v>
      </c>
      <c r="AA9" s="3">
        <f t="shared" si="6"/>
        <v>3.4934497816593888</v>
      </c>
      <c r="AB9">
        <v>47</v>
      </c>
      <c r="AC9" s="3">
        <f t="shared" si="6"/>
        <v>6.8413391557496359</v>
      </c>
      <c r="AD9">
        <v>41</v>
      </c>
      <c r="AE9" s="3">
        <f t="shared" si="7"/>
        <v>5.9679767103347894</v>
      </c>
      <c r="AF9">
        <v>213</v>
      </c>
      <c r="AG9" s="3">
        <f t="shared" si="7"/>
        <v>31.004366812227076</v>
      </c>
      <c r="AH9">
        <v>80</v>
      </c>
      <c r="AI9" s="3">
        <f t="shared" si="8"/>
        <v>11.644832605531295</v>
      </c>
      <c r="AJ9">
        <v>60</v>
      </c>
      <c r="AK9" s="3">
        <f t="shared" si="8"/>
        <v>8.7336244541484724</v>
      </c>
      <c r="AL9">
        <v>9</v>
      </c>
      <c r="AM9" s="3">
        <f t="shared" si="9"/>
        <v>1.3100436681222707</v>
      </c>
      <c r="AN9">
        <v>109</v>
      </c>
      <c r="AO9" s="3">
        <f t="shared" si="10"/>
        <v>15.866084425036391</v>
      </c>
      <c r="AP9">
        <v>32</v>
      </c>
      <c r="AQ9" s="3">
        <f t="shared" si="10"/>
        <v>4.6579330422125178</v>
      </c>
      <c r="AR9">
        <v>15</v>
      </c>
      <c r="AS9" s="3">
        <f t="shared" si="11"/>
        <v>2.1834061135371181</v>
      </c>
      <c r="AT9" t="s">
        <v>209</v>
      </c>
      <c r="AV9"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-1.8181818181818699</v>
      </c>
      <c r="AW9" s="13">
        <f>2*(Дума_одномандатный[[#This Row],[Майданов Денис Васильевич]]-(AB$124/100)*Дума_одномандатный[[#This Row],[Число действительных избирательных бюллетеней]])</f>
        <v>-2.4000000000000341</v>
      </c>
      <c r="AX9" s="13">
        <f>(Дума_одномандатный[[#This Row],[Вброс]]+Дума_одномандатный[[#This Row],[Перекладывание]])/2</f>
        <v>-2.109090909090952</v>
      </c>
      <c r="AY9" s="13">
        <f>Дума_партии[[#This Row],[Зона ответственности в сен. 2022 г.]]</f>
        <v>0</v>
      </c>
    </row>
    <row r="10" spans="1:51" x14ac:dyDescent="0.4">
      <c r="A10" t="s">
        <v>49</v>
      </c>
      <c r="B10" t="s">
        <v>50</v>
      </c>
      <c r="C10" t="s">
        <v>51</v>
      </c>
      <c r="D10" t="s">
        <v>102</v>
      </c>
      <c r="E10" t="s">
        <v>111</v>
      </c>
      <c r="F10" s="1">
        <f t="shared" ca="1" si="2"/>
        <v>1750</v>
      </c>
      <c r="G10" s="1" t="str">
        <f>Дума_партии[[#This Row],[Местоположение]]</f>
        <v>Наро-Фоминск</v>
      </c>
      <c r="H10">
        <v>1405</v>
      </c>
      <c r="I10" s="1">
        <f>Дума_одномандатный[[#This Row],[Число избирателей, внесенных в список избирателей на момент окончания голосования]]</f>
        <v>1405</v>
      </c>
      <c r="J10">
        <v>1400</v>
      </c>
      <c r="K10">
        <v>0</v>
      </c>
      <c r="L10">
        <v>524</v>
      </c>
      <c r="M10">
        <v>24</v>
      </c>
      <c r="N10" s="3">
        <f t="shared" si="0"/>
        <v>39.003558718861207</v>
      </c>
      <c r="O10" s="3">
        <f t="shared" si="1"/>
        <v>1.708185053380783</v>
      </c>
      <c r="P10">
        <v>852</v>
      </c>
      <c r="Q10">
        <v>24</v>
      </c>
      <c r="R10">
        <v>524</v>
      </c>
      <c r="S10" s="1">
        <f t="shared" si="3"/>
        <v>548</v>
      </c>
      <c r="T10" s="3">
        <f t="shared" si="4"/>
        <v>4.3795620437956204</v>
      </c>
      <c r="U10">
        <v>43</v>
      </c>
      <c r="V10" s="3">
        <f t="shared" si="5"/>
        <v>7.8467153284671536</v>
      </c>
      <c r="W10">
        <v>505</v>
      </c>
      <c r="X10">
        <v>0</v>
      </c>
      <c r="Y10">
        <v>0</v>
      </c>
      <c r="Z10">
        <v>15</v>
      </c>
      <c r="AA10" s="3">
        <f t="shared" si="6"/>
        <v>2.7372262773722627</v>
      </c>
      <c r="AB10">
        <v>21</v>
      </c>
      <c r="AC10" s="3">
        <f t="shared" si="6"/>
        <v>3.832116788321168</v>
      </c>
      <c r="AD10">
        <v>43</v>
      </c>
      <c r="AE10" s="3">
        <f t="shared" si="7"/>
        <v>7.8467153284671536</v>
      </c>
      <c r="AF10">
        <v>163</v>
      </c>
      <c r="AG10" s="3">
        <f t="shared" si="7"/>
        <v>29.744525547445257</v>
      </c>
      <c r="AH10">
        <v>61</v>
      </c>
      <c r="AI10" s="3">
        <f t="shared" si="8"/>
        <v>11.131386861313869</v>
      </c>
      <c r="AJ10">
        <v>52</v>
      </c>
      <c r="AK10" s="3">
        <f t="shared" si="8"/>
        <v>9.4890510948905114</v>
      </c>
      <c r="AL10">
        <v>8</v>
      </c>
      <c r="AM10" s="3">
        <f t="shared" si="9"/>
        <v>1.4598540145985401</v>
      </c>
      <c r="AN10">
        <v>105</v>
      </c>
      <c r="AO10" s="3">
        <f t="shared" si="10"/>
        <v>19.160583941605839</v>
      </c>
      <c r="AP10">
        <v>20</v>
      </c>
      <c r="AQ10" s="3">
        <f t="shared" si="10"/>
        <v>3.6496350364963503</v>
      </c>
      <c r="AR10">
        <v>17</v>
      </c>
      <c r="AS10" s="3">
        <f t="shared" si="11"/>
        <v>3.1021897810218979</v>
      </c>
      <c r="AT10" t="s">
        <v>209</v>
      </c>
      <c r="AV10"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-13.181818181818215</v>
      </c>
      <c r="AW10" s="13">
        <f>2*(Дума_одномандатный[[#This Row],[Майданов Денис Васильевич]]-(AB$124/100)*Дума_одномандатный[[#This Row],[Число действительных избирательных бюллетеней]])</f>
        <v>-17.400000000000034</v>
      </c>
      <c r="AX10" s="13">
        <f>(Дума_одномандатный[[#This Row],[Вброс]]+Дума_одномандатный[[#This Row],[Перекладывание]])/2</f>
        <v>-15.290909090909125</v>
      </c>
      <c r="AY10" s="13">
        <f>Дума_партии[[#This Row],[Зона ответственности в сен. 2022 г.]]</f>
        <v>0</v>
      </c>
    </row>
    <row r="11" spans="1:51" x14ac:dyDescent="0.4">
      <c r="A11" t="s">
        <v>49</v>
      </c>
      <c r="B11" t="s">
        <v>50</v>
      </c>
      <c r="C11" t="s">
        <v>51</v>
      </c>
      <c r="D11" t="s">
        <v>102</v>
      </c>
      <c r="E11" t="s">
        <v>112</v>
      </c>
      <c r="F11" s="1">
        <f t="shared" ca="1" si="2"/>
        <v>1751</v>
      </c>
      <c r="G11" s="1" t="str">
        <f>Дума_партии[[#This Row],[Местоположение]]</f>
        <v>Наро-Фоминск</v>
      </c>
      <c r="H11">
        <v>1328</v>
      </c>
      <c r="I11" s="1">
        <f>Дума_одномандатный[[#This Row],[Число избирателей, внесенных в список избирателей на момент окончания голосования]]</f>
        <v>1328</v>
      </c>
      <c r="J11">
        <v>1300</v>
      </c>
      <c r="K11">
        <v>0</v>
      </c>
      <c r="L11">
        <v>462</v>
      </c>
      <c r="M11">
        <v>17</v>
      </c>
      <c r="N11" s="3">
        <f t="shared" si="0"/>
        <v>36.069277108433738</v>
      </c>
      <c r="O11" s="3">
        <f t="shared" si="1"/>
        <v>1.2801204819277108</v>
      </c>
      <c r="P11">
        <v>821</v>
      </c>
      <c r="Q11">
        <v>17</v>
      </c>
      <c r="R11">
        <v>462</v>
      </c>
      <c r="S11" s="1">
        <f t="shared" si="3"/>
        <v>479</v>
      </c>
      <c r="T11" s="3">
        <f t="shared" si="4"/>
        <v>3.5490605427974948</v>
      </c>
      <c r="U11">
        <v>101</v>
      </c>
      <c r="V11" s="3">
        <f t="shared" si="5"/>
        <v>21.085594989561585</v>
      </c>
      <c r="W11">
        <v>378</v>
      </c>
      <c r="X11">
        <v>0</v>
      </c>
      <c r="Y11">
        <v>0</v>
      </c>
      <c r="Z11">
        <v>4</v>
      </c>
      <c r="AA11" s="3">
        <f t="shared" si="6"/>
        <v>0.83507306889352817</v>
      </c>
      <c r="AB11">
        <v>24</v>
      </c>
      <c r="AC11" s="3">
        <f t="shared" si="6"/>
        <v>5.010438413361169</v>
      </c>
      <c r="AD11">
        <v>23</v>
      </c>
      <c r="AE11" s="3">
        <f t="shared" si="7"/>
        <v>4.8016701461377869</v>
      </c>
      <c r="AF11">
        <v>172</v>
      </c>
      <c r="AG11" s="3">
        <f t="shared" si="7"/>
        <v>35.908141962421709</v>
      </c>
      <c r="AH11">
        <v>39</v>
      </c>
      <c r="AI11" s="3">
        <f t="shared" si="8"/>
        <v>8.1419624217119004</v>
      </c>
      <c r="AJ11">
        <v>30</v>
      </c>
      <c r="AK11" s="3">
        <f t="shared" si="8"/>
        <v>6.2630480167014611</v>
      </c>
      <c r="AL11">
        <v>3</v>
      </c>
      <c r="AM11" s="3">
        <f t="shared" si="9"/>
        <v>0.62630480167014613</v>
      </c>
      <c r="AN11">
        <v>62</v>
      </c>
      <c r="AO11" s="3">
        <f t="shared" si="10"/>
        <v>12.943632567849686</v>
      </c>
      <c r="AP11">
        <v>15</v>
      </c>
      <c r="AQ11" s="3">
        <f t="shared" si="10"/>
        <v>3.1315240083507305</v>
      </c>
      <c r="AR11">
        <v>6</v>
      </c>
      <c r="AS11" s="3">
        <f t="shared" si="11"/>
        <v>1.2526096033402923</v>
      </c>
      <c r="AT11" t="s">
        <v>209</v>
      </c>
      <c r="AV11"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65.878787878787861</v>
      </c>
      <c r="AW11" s="13">
        <f>2*(Дума_одномандатный[[#This Row],[Майданов Денис Васильевич]]-(AB$124/100)*Дума_одномандатный[[#This Row],[Число действительных избирательных бюллетеней]])</f>
        <v>86.95999999999998</v>
      </c>
      <c r="AX11" s="13">
        <f>(Дума_одномандатный[[#This Row],[Вброс]]+Дума_одномандатный[[#This Row],[Перекладывание]])/2</f>
        <v>76.419393939393927</v>
      </c>
      <c r="AY11" s="13">
        <f>Дума_партии[[#This Row],[Зона ответственности в сен. 2022 г.]]</f>
        <v>0</v>
      </c>
    </row>
    <row r="12" spans="1:51" x14ac:dyDescent="0.4">
      <c r="A12" t="s">
        <v>49</v>
      </c>
      <c r="B12" t="s">
        <v>50</v>
      </c>
      <c r="C12" t="s">
        <v>51</v>
      </c>
      <c r="D12" t="s">
        <v>102</v>
      </c>
      <c r="E12" t="s">
        <v>113</v>
      </c>
      <c r="F12" s="1">
        <f t="shared" ca="1" si="2"/>
        <v>1752</v>
      </c>
      <c r="G12" s="1" t="str">
        <f>Дума_партии[[#This Row],[Местоположение]]</f>
        <v>Наро-Фоминск</v>
      </c>
      <c r="H12">
        <v>1418</v>
      </c>
      <c r="I12" s="1">
        <f>Дума_одномандатный[[#This Row],[Число избирателей, внесенных в список избирателей на момент окончания голосования]]</f>
        <v>1418</v>
      </c>
      <c r="J12">
        <v>1400</v>
      </c>
      <c r="K12">
        <v>0</v>
      </c>
      <c r="L12">
        <v>561</v>
      </c>
      <c r="M12">
        <v>15</v>
      </c>
      <c r="N12" s="3">
        <f t="shared" si="0"/>
        <v>40.620592383638929</v>
      </c>
      <c r="O12" s="3">
        <f t="shared" si="1"/>
        <v>1.0578279266572637</v>
      </c>
      <c r="P12">
        <v>824</v>
      </c>
      <c r="Q12">
        <v>15</v>
      </c>
      <c r="R12">
        <v>561</v>
      </c>
      <c r="S12" s="1">
        <f t="shared" si="3"/>
        <v>576</v>
      </c>
      <c r="T12" s="3">
        <f t="shared" si="4"/>
        <v>2.6041666666666665</v>
      </c>
      <c r="U12">
        <v>40</v>
      </c>
      <c r="V12" s="3">
        <f t="shared" si="5"/>
        <v>6.9444444444444446</v>
      </c>
      <c r="W12">
        <v>536</v>
      </c>
      <c r="X12">
        <v>0</v>
      </c>
      <c r="Y12">
        <v>0</v>
      </c>
      <c r="Z12">
        <v>16</v>
      </c>
      <c r="AA12" s="3">
        <f t="shared" si="6"/>
        <v>2.7777777777777777</v>
      </c>
      <c r="AB12">
        <v>31</v>
      </c>
      <c r="AC12" s="3">
        <f t="shared" si="6"/>
        <v>5.3819444444444446</v>
      </c>
      <c r="AD12">
        <v>38</v>
      </c>
      <c r="AE12" s="3">
        <f t="shared" si="7"/>
        <v>6.5972222222222223</v>
      </c>
      <c r="AF12">
        <v>203</v>
      </c>
      <c r="AG12" s="3">
        <f t="shared" si="7"/>
        <v>35.243055555555557</v>
      </c>
      <c r="AH12">
        <v>81</v>
      </c>
      <c r="AI12" s="3">
        <f t="shared" si="8"/>
        <v>14.0625</v>
      </c>
      <c r="AJ12">
        <v>32</v>
      </c>
      <c r="AK12" s="3">
        <f t="shared" si="8"/>
        <v>5.5555555555555554</v>
      </c>
      <c r="AL12">
        <v>6</v>
      </c>
      <c r="AM12" s="3">
        <f t="shared" si="9"/>
        <v>1.0416666666666667</v>
      </c>
      <c r="AN12">
        <v>92</v>
      </c>
      <c r="AO12" s="3">
        <f t="shared" si="10"/>
        <v>15.972222222222221</v>
      </c>
      <c r="AP12">
        <v>27</v>
      </c>
      <c r="AQ12" s="3">
        <f t="shared" si="10"/>
        <v>4.6875</v>
      </c>
      <c r="AR12">
        <v>10</v>
      </c>
      <c r="AS12" s="3">
        <f t="shared" si="11"/>
        <v>1.7361111111111112</v>
      </c>
      <c r="AT12" t="s">
        <v>209</v>
      </c>
      <c r="AV12"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31.454545454545411</v>
      </c>
      <c r="AW12" s="13">
        <f>2*(Дума_одномандатный[[#This Row],[Майданов Денис Васильевич]]-(AB$124/100)*Дума_одномандатный[[#This Row],[Число действительных избирательных бюллетеней]])</f>
        <v>41.519999999999982</v>
      </c>
      <c r="AX12" s="13">
        <f>(Дума_одномандатный[[#This Row],[Вброс]]+Дума_одномандатный[[#This Row],[Перекладывание]])/2</f>
        <v>36.487272727272696</v>
      </c>
      <c r="AY12" s="13">
        <f>Дума_партии[[#This Row],[Зона ответственности в сен. 2022 г.]]</f>
        <v>0</v>
      </c>
    </row>
    <row r="13" spans="1:51" x14ac:dyDescent="0.4">
      <c r="A13" t="s">
        <v>49</v>
      </c>
      <c r="B13" t="s">
        <v>50</v>
      </c>
      <c r="C13" t="s">
        <v>51</v>
      </c>
      <c r="D13" t="s">
        <v>102</v>
      </c>
      <c r="E13" t="s">
        <v>114</v>
      </c>
      <c r="F13" s="1">
        <f t="shared" ca="1" si="2"/>
        <v>1753</v>
      </c>
      <c r="G13" s="1" t="str">
        <f>Дума_партии[[#This Row],[Местоположение]]</f>
        <v>Наро-Фоминск</v>
      </c>
      <c r="H13">
        <v>1035</v>
      </c>
      <c r="I13" s="1">
        <f>Дума_одномандатный[[#This Row],[Число избирателей, внесенных в список избирателей на момент окончания голосования]]</f>
        <v>1035</v>
      </c>
      <c r="J13">
        <v>1000</v>
      </c>
      <c r="K13">
        <v>0</v>
      </c>
      <c r="L13">
        <v>389</v>
      </c>
      <c r="M13">
        <v>10</v>
      </c>
      <c r="N13" s="3">
        <f t="shared" si="0"/>
        <v>38.550724637681157</v>
      </c>
      <c r="O13" s="3">
        <f t="shared" si="1"/>
        <v>0.96618357487922701</v>
      </c>
      <c r="P13">
        <v>601</v>
      </c>
      <c r="Q13">
        <v>10</v>
      </c>
      <c r="R13">
        <v>389</v>
      </c>
      <c r="S13" s="1">
        <f t="shared" si="3"/>
        <v>399</v>
      </c>
      <c r="T13" s="3">
        <f t="shared" si="4"/>
        <v>2.5062656641604009</v>
      </c>
      <c r="U13">
        <v>31</v>
      </c>
      <c r="V13" s="3">
        <f t="shared" si="5"/>
        <v>7.7694235588972429</v>
      </c>
      <c r="W13">
        <v>368</v>
      </c>
      <c r="X13">
        <v>0</v>
      </c>
      <c r="Y13">
        <v>0</v>
      </c>
      <c r="Z13">
        <v>13</v>
      </c>
      <c r="AA13" s="3">
        <f t="shared" si="6"/>
        <v>3.2581453634085213</v>
      </c>
      <c r="AB13">
        <v>25</v>
      </c>
      <c r="AC13" s="3">
        <f t="shared" si="6"/>
        <v>6.2656641604010028</v>
      </c>
      <c r="AD13">
        <v>21</v>
      </c>
      <c r="AE13" s="3">
        <f t="shared" si="7"/>
        <v>5.2631578947368425</v>
      </c>
      <c r="AF13">
        <v>115</v>
      </c>
      <c r="AG13" s="3">
        <f t="shared" si="7"/>
        <v>28.822055137844611</v>
      </c>
      <c r="AH13">
        <v>55</v>
      </c>
      <c r="AI13" s="3">
        <f t="shared" si="8"/>
        <v>13.784461152882205</v>
      </c>
      <c r="AJ13">
        <v>36</v>
      </c>
      <c r="AK13" s="3">
        <f t="shared" si="8"/>
        <v>9.022556390977444</v>
      </c>
      <c r="AL13">
        <v>7</v>
      </c>
      <c r="AM13" s="3">
        <f t="shared" si="9"/>
        <v>1.7543859649122806</v>
      </c>
      <c r="AN13">
        <v>68</v>
      </c>
      <c r="AO13" s="3">
        <f t="shared" si="10"/>
        <v>17.042606516290729</v>
      </c>
      <c r="AP13">
        <v>19</v>
      </c>
      <c r="AQ13" s="3">
        <f t="shared" si="10"/>
        <v>4.7619047619047619</v>
      </c>
      <c r="AR13">
        <v>9</v>
      </c>
      <c r="AS13" s="3">
        <f t="shared" si="11"/>
        <v>2.255639097744361</v>
      </c>
      <c r="AT13" t="s">
        <v>209</v>
      </c>
      <c r="AV13"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-15.333333333333371</v>
      </c>
      <c r="AW13" s="13">
        <f>2*(Дума_одномандатный[[#This Row],[Майданов Денис Васильевич]]-(AB$124/100)*Дума_одномандатный[[#This Row],[Число действительных избирательных бюллетеней]])</f>
        <v>-20.240000000000009</v>
      </c>
      <c r="AX13" s="13">
        <f>(Дума_одномандатный[[#This Row],[Вброс]]+Дума_одномандатный[[#This Row],[Перекладывание]])/2</f>
        <v>-17.78666666666669</v>
      </c>
      <c r="AY13" s="13">
        <f>Дума_партии[[#This Row],[Зона ответственности в сен. 2022 г.]]</f>
        <v>0</v>
      </c>
    </row>
    <row r="14" spans="1:51" x14ac:dyDescent="0.4">
      <c r="A14" t="s">
        <v>49</v>
      </c>
      <c r="B14" t="s">
        <v>50</v>
      </c>
      <c r="C14" t="s">
        <v>51</v>
      </c>
      <c r="D14" t="s">
        <v>102</v>
      </c>
      <c r="E14" t="s">
        <v>115</v>
      </c>
      <c r="F14" s="1">
        <f t="shared" ca="1" si="2"/>
        <v>1754</v>
      </c>
      <c r="G14" s="1" t="str">
        <f>Дума_партии[[#This Row],[Местоположение]]</f>
        <v>Наро-Фоминск</v>
      </c>
      <c r="H14">
        <v>965</v>
      </c>
      <c r="I14" s="1">
        <f>Дума_одномандатный[[#This Row],[Число избирателей, внесенных в список избирателей на момент окончания голосования]]</f>
        <v>965</v>
      </c>
      <c r="J14">
        <v>900</v>
      </c>
      <c r="K14">
        <v>0</v>
      </c>
      <c r="L14">
        <v>328</v>
      </c>
      <c r="M14">
        <v>26</v>
      </c>
      <c r="N14" s="3">
        <f t="shared" si="0"/>
        <v>36.683937823834199</v>
      </c>
      <c r="O14" s="3">
        <f t="shared" si="1"/>
        <v>2.6943005181347148</v>
      </c>
      <c r="P14">
        <v>546</v>
      </c>
      <c r="Q14">
        <v>26</v>
      </c>
      <c r="R14">
        <v>328</v>
      </c>
      <c r="S14" s="1">
        <f t="shared" si="3"/>
        <v>354</v>
      </c>
      <c r="T14" s="3">
        <f t="shared" si="4"/>
        <v>7.3446327683615822</v>
      </c>
      <c r="U14">
        <v>24</v>
      </c>
      <c r="V14" s="3">
        <f t="shared" si="5"/>
        <v>6.7796610169491522</v>
      </c>
      <c r="W14">
        <v>330</v>
      </c>
      <c r="X14">
        <v>0</v>
      </c>
      <c r="Y14">
        <v>0</v>
      </c>
      <c r="Z14">
        <v>14</v>
      </c>
      <c r="AA14" s="3">
        <f t="shared" si="6"/>
        <v>3.9548022598870056</v>
      </c>
      <c r="AB14">
        <v>19</v>
      </c>
      <c r="AC14" s="3">
        <f t="shared" si="6"/>
        <v>5.3672316384180787</v>
      </c>
      <c r="AD14">
        <v>18</v>
      </c>
      <c r="AE14" s="3">
        <f t="shared" si="7"/>
        <v>5.0847457627118642</v>
      </c>
      <c r="AF14">
        <v>132</v>
      </c>
      <c r="AG14" s="3">
        <f t="shared" si="7"/>
        <v>37.288135593220339</v>
      </c>
      <c r="AH14">
        <v>36</v>
      </c>
      <c r="AI14" s="3">
        <f t="shared" si="8"/>
        <v>10.169491525423728</v>
      </c>
      <c r="AJ14">
        <v>17</v>
      </c>
      <c r="AK14" s="3">
        <f t="shared" si="8"/>
        <v>4.8022598870056497</v>
      </c>
      <c r="AL14">
        <v>8</v>
      </c>
      <c r="AM14" s="3">
        <f t="shared" si="9"/>
        <v>2.2598870056497176</v>
      </c>
      <c r="AN14">
        <v>72</v>
      </c>
      <c r="AO14" s="3">
        <f t="shared" si="10"/>
        <v>20.338983050847457</v>
      </c>
      <c r="AP14">
        <v>9</v>
      </c>
      <c r="AQ14" s="3">
        <f t="shared" si="10"/>
        <v>2.5423728813559321</v>
      </c>
      <c r="AR14">
        <v>5</v>
      </c>
      <c r="AS14" s="3">
        <f t="shared" si="11"/>
        <v>1.4124293785310735</v>
      </c>
      <c r="AT14" t="s">
        <v>209</v>
      </c>
      <c r="AV14"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29.999999999999986</v>
      </c>
      <c r="AW14" s="13">
        <f>2*(Дума_одномандатный[[#This Row],[Майданов Денис Васильевич]]-(AB$124/100)*Дума_одномандатный[[#This Row],[Число действительных избирательных бюллетеней]])</f>
        <v>39.599999999999994</v>
      </c>
      <c r="AX14" s="13">
        <f>(Дума_одномандатный[[#This Row],[Вброс]]+Дума_одномандатный[[#This Row],[Перекладывание]])/2</f>
        <v>34.79999999999999</v>
      </c>
      <c r="AY14" s="13">
        <f>Дума_партии[[#This Row],[Зона ответственности в сен. 2022 г.]]</f>
        <v>0</v>
      </c>
    </row>
    <row r="15" spans="1:51" x14ac:dyDescent="0.4">
      <c r="A15" t="s">
        <v>49</v>
      </c>
      <c r="B15" t="s">
        <v>50</v>
      </c>
      <c r="C15" t="s">
        <v>51</v>
      </c>
      <c r="D15" t="s">
        <v>102</v>
      </c>
      <c r="E15" t="s">
        <v>116</v>
      </c>
      <c r="F15" s="1">
        <f t="shared" ca="1" si="2"/>
        <v>1755</v>
      </c>
      <c r="G15" s="1" t="str">
        <f>Дума_партии[[#This Row],[Местоположение]]</f>
        <v>Наро-Фоминск</v>
      </c>
      <c r="H15">
        <v>1484</v>
      </c>
      <c r="I15" s="1">
        <f>Дума_одномандатный[[#This Row],[Число избирателей, внесенных в список избирателей на момент окончания голосования]]</f>
        <v>1484</v>
      </c>
      <c r="J15">
        <v>1500</v>
      </c>
      <c r="K15">
        <v>0</v>
      </c>
      <c r="L15">
        <v>540</v>
      </c>
      <c r="M15">
        <v>9</v>
      </c>
      <c r="N15" s="3">
        <f t="shared" si="0"/>
        <v>36.994609164420488</v>
      </c>
      <c r="O15" s="3">
        <f t="shared" si="1"/>
        <v>0.60646900269541781</v>
      </c>
      <c r="P15">
        <v>951</v>
      </c>
      <c r="Q15">
        <v>9</v>
      </c>
      <c r="R15">
        <v>536</v>
      </c>
      <c r="S15" s="1">
        <f t="shared" si="3"/>
        <v>545</v>
      </c>
      <c r="T15" s="3">
        <f t="shared" si="4"/>
        <v>1.6513761467889909</v>
      </c>
      <c r="U15">
        <v>43</v>
      </c>
      <c r="V15" s="3">
        <f t="shared" si="5"/>
        <v>7.8899082568807337</v>
      </c>
      <c r="W15">
        <v>502</v>
      </c>
      <c r="X15">
        <v>0</v>
      </c>
      <c r="Y15">
        <v>0</v>
      </c>
      <c r="Z15">
        <v>21</v>
      </c>
      <c r="AA15" s="3">
        <f t="shared" si="6"/>
        <v>3.8532110091743119</v>
      </c>
      <c r="AB15">
        <v>30</v>
      </c>
      <c r="AC15" s="3">
        <f t="shared" si="6"/>
        <v>5.5045871559633026</v>
      </c>
      <c r="AD15">
        <v>36</v>
      </c>
      <c r="AE15" s="3">
        <f t="shared" si="7"/>
        <v>6.6055045871559637</v>
      </c>
      <c r="AF15">
        <v>187</v>
      </c>
      <c r="AG15" s="3">
        <f t="shared" si="7"/>
        <v>34.311926605504588</v>
      </c>
      <c r="AH15">
        <v>67</v>
      </c>
      <c r="AI15" s="3">
        <f t="shared" si="8"/>
        <v>12.293577981651376</v>
      </c>
      <c r="AJ15">
        <v>41</v>
      </c>
      <c r="AK15" s="3">
        <f t="shared" si="8"/>
        <v>7.522935779816514</v>
      </c>
      <c r="AL15">
        <v>15</v>
      </c>
      <c r="AM15" s="3">
        <f t="shared" si="9"/>
        <v>2.7522935779816513</v>
      </c>
      <c r="AN15">
        <v>69</v>
      </c>
      <c r="AO15" s="3">
        <f t="shared" si="10"/>
        <v>12.660550458715596</v>
      </c>
      <c r="AP15">
        <v>21</v>
      </c>
      <c r="AQ15" s="3">
        <f t="shared" si="10"/>
        <v>3.8532110091743119</v>
      </c>
      <c r="AR15">
        <v>15</v>
      </c>
      <c r="AS15" s="3">
        <f t="shared" si="11"/>
        <v>2.7522935779816513</v>
      </c>
      <c r="AT15" t="s">
        <v>209</v>
      </c>
      <c r="AV15"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24.727272727272691</v>
      </c>
      <c r="AW15" s="13">
        <f>2*(Дума_одномандатный[[#This Row],[Майданов Денис Васильевич]]-(AB$124/100)*Дума_одномандатный[[#This Row],[Число действительных избирательных бюллетеней]])</f>
        <v>32.639999999999986</v>
      </c>
      <c r="AX15" s="13">
        <f>(Дума_одномандатный[[#This Row],[Вброс]]+Дума_одномандатный[[#This Row],[Перекладывание]])/2</f>
        <v>28.683636363636339</v>
      </c>
      <c r="AY15" s="13">
        <f>Дума_партии[[#This Row],[Зона ответственности в сен. 2022 г.]]</f>
        <v>0</v>
      </c>
    </row>
    <row r="16" spans="1:51" x14ac:dyDescent="0.4">
      <c r="A16" t="s">
        <v>49</v>
      </c>
      <c r="B16" t="s">
        <v>50</v>
      </c>
      <c r="C16" t="s">
        <v>51</v>
      </c>
      <c r="D16" t="s">
        <v>102</v>
      </c>
      <c r="E16" t="s">
        <v>117</v>
      </c>
      <c r="F16" s="1">
        <f t="shared" ca="1" si="2"/>
        <v>1756</v>
      </c>
      <c r="G16" s="1" t="str">
        <f>Дума_партии[[#This Row],[Местоположение]]</f>
        <v>Наро-Фоминск</v>
      </c>
      <c r="H16">
        <v>1210</v>
      </c>
      <c r="I16" s="1">
        <f>Дума_одномандатный[[#This Row],[Число избирателей, внесенных в список избирателей на момент окончания голосования]]</f>
        <v>1210</v>
      </c>
      <c r="J16">
        <v>1000</v>
      </c>
      <c r="K16">
        <v>0</v>
      </c>
      <c r="L16">
        <v>403</v>
      </c>
      <c r="M16">
        <v>2</v>
      </c>
      <c r="N16" s="3">
        <f t="shared" si="0"/>
        <v>33.471074380165291</v>
      </c>
      <c r="O16" s="3">
        <f t="shared" si="1"/>
        <v>0.16528925619834711</v>
      </c>
      <c r="P16">
        <v>595</v>
      </c>
      <c r="Q16">
        <v>2</v>
      </c>
      <c r="R16">
        <v>403</v>
      </c>
      <c r="S16" s="1">
        <f t="shared" si="3"/>
        <v>405</v>
      </c>
      <c r="T16" s="3">
        <f t="shared" si="4"/>
        <v>0.49382716049382713</v>
      </c>
      <c r="U16">
        <v>25</v>
      </c>
      <c r="V16" s="3">
        <f t="shared" si="5"/>
        <v>6.1728395061728394</v>
      </c>
      <c r="W16">
        <v>380</v>
      </c>
      <c r="X16">
        <v>0</v>
      </c>
      <c r="Y16">
        <v>0</v>
      </c>
      <c r="Z16">
        <v>15</v>
      </c>
      <c r="AA16" s="3">
        <f t="shared" si="6"/>
        <v>3.7037037037037037</v>
      </c>
      <c r="AB16">
        <v>22</v>
      </c>
      <c r="AC16" s="3">
        <f t="shared" si="6"/>
        <v>5.4320987654320989</v>
      </c>
      <c r="AD16">
        <v>29</v>
      </c>
      <c r="AE16" s="3">
        <f t="shared" si="7"/>
        <v>7.1604938271604937</v>
      </c>
      <c r="AF16">
        <v>145</v>
      </c>
      <c r="AG16" s="3">
        <f t="shared" si="7"/>
        <v>35.802469135802468</v>
      </c>
      <c r="AH16">
        <v>40</v>
      </c>
      <c r="AI16" s="3">
        <f t="shared" si="8"/>
        <v>9.8765432098765427</v>
      </c>
      <c r="AJ16">
        <v>28</v>
      </c>
      <c r="AK16" s="3">
        <f t="shared" si="8"/>
        <v>6.9135802469135799</v>
      </c>
      <c r="AL16">
        <v>12</v>
      </c>
      <c r="AM16" s="3">
        <f t="shared" si="9"/>
        <v>2.9629629629629628</v>
      </c>
      <c r="AN16">
        <v>66</v>
      </c>
      <c r="AO16" s="3">
        <f t="shared" si="10"/>
        <v>16.296296296296298</v>
      </c>
      <c r="AP16">
        <v>14</v>
      </c>
      <c r="AQ16" s="3">
        <f t="shared" si="10"/>
        <v>3.4567901234567899</v>
      </c>
      <c r="AR16">
        <v>9</v>
      </c>
      <c r="AS16" s="3">
        <f t="shared" si="11"/>
        <v>2.2222222222222223</v>
      </c>
      <c r="AT16" t="s">
        <v>209</v>
      </c>
      <c r="AV16"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23.939393939393923</v>
      </c>
      <c r="AW16" s="13">
        <f>2*(Дума_одномандатный[[#This Row],[Майданов Денис Васильевич]]-(AB$124/100)*Дума_одномандатный[[#This Row],[Число действительных избирательных бюллетеней]])</f>
        <v>31.599999999999966</v>
      </c>
      <c r="AX16" s="13">
        <f>(Дума_одномандатный[[#This Row],[Вброс]]+Дума_одномандатный[[#This Row],[Перекладывание]])/2</f>
        <v>27.769696969696945</v>
      </c>
      <c r="AY16" s="13">
        <f>Дума_партии[[#This Row],[Зона ответственности в сен. 2022 г.]]</f>
        <v>0</v>
      </c>
    </row>
    <row r="17" spans="1:51" x14ac:dyDescent="0.4">
      <c r="A17" t="s">
        <v>49</v>
      </c>
      <c r="B17" t="s">
        <v>50</v>
      </c>
      <c r="C17" t="s">
        <v>51</v>
      </c>
      <c r="D17" t="s">
        <v>102</v>
      </c>
      <c r="E17" t="s">
        <v>118</v>
      </c>
      <c r="F17" s="1">
        <f t="shared" ca="1" si="2"/>
        <v>1757</v>
      </c>
      <c r="G17" s="1" t="str">
        <f>Дума_партии[[#This Row],[Местоположение]]</f>
        <v>Наро-Фоминск</v>
      </c>
      <c r="H17">
        <v>1420</v>
      </c>
      <c r="I17" s="1">
        <f>Дума_одномандатный[[#This Row],[Число избирателей, внесенных в список избирателей на момент окончания голосования]]</f>
        <v>1420</v>
      </c>
      <c r="J17">
        <v>1400</v>
      </c>
      <c r="K17">
        <v>0</v>
      </c>
      <c r="L17">
        <v>461</v>
      </c>
      <c r="M17">
        <v>8</v>
      </c>
      <c r="N17" s="3">
        <f t="shared" si="0"/>
        <v>33.028169014084504</v>
      </c>
      <c r="O17" s="3">
        <f t="shared" si="1"/>
        <v>0.56338028169014087</v>
      </c>
      <c r="P17">
        <v>931</v>
      </c>
      <c r="Q17">
        <v>8</v>
      </c>
      <c r="R17">
        <v>459</v>
      </c>
      <c r="S17" s="1">
        <f t="shared" si="3"/>
        <v>467</v>
      </c>
      <c r="T17" s="3">
        <f t="shared" si="4"/>
        <v>1.7130620985010707</v>
      </c>
      <c r="U17">
        <v>52</v>
      </c>
      <c r="V17" s="3">
        <f t="shared" si="5"/>
        <v>11.13490364025696</v>
      </c>
      <c r="W17">
        <v>415</v>
      </c>
      <c r="X17">
        <v>0</v>
      </c>
      <c r="Y17">
        <v>0</v>
      </c>
      <c r="Z17">
        <v>16</v>
      </c>
      <c r="AA17" s="3">
        <f t="shared" si="6"/>
        <v>3.4261241970021414</v>
      </c>
      <c r="AB17">
        <v>19</v>
      </c>
      <c r="AC17" s="3">
        <f t="shared" si="6"/>
        <v>4.0685224839400425</v>
      </c>
      <c r="AD17">
        <v>41</v>
      </c>
      <c r="AE17" s="3">
        <f t="shared" si="7"/>
        <v>8.7794432548179877</v>
      </c>
      <c r="AF17">
        <v>143</v>
      </c>
      <c r="AG17" s="3">
        <f t="shared" si="7"/>
        <v>30.620985010706637</v>
      </c>
      <c r="AH17">
        <v>54</v>
      </c>
      <c r="AI17" s="3">
        <f t="shared" si="8"/>
        <v>11.563169164882227</v>
      </c>
      <c r="AJ17">
        <v>36</v>
      </c>
      <c r="AK17" s="3">
        <f t="shared" si="8"/>
        <v>7.7087794432548176</v>
      </c>
      <c r="AL17">
        <v>7</v>
      </c>
      <c r="AM17" s="3">
        <f t="shared" si="9"/>
        <v>1.4989293361884368</v>
      </c>
      <c r="AN17">
        <v>67</v>
      </c>
      <c r="AO17" s="3">
        <f t="shared" si="10"/>
        <v>14.346895074946467</v>
      </c>
      <c r="AP17">
        <v>20</v>
      </c>
      <c r="AQ17" s="3">
        <f t="shared" si="10"/>
        <v>4.282655246252677</v>
      </c>
      <c r="AR17">
        <v>12</v>
      </c>
      <c r="AS17" s="3">
        <f t="shared" si="11"/>
        <v>2.5695931477516059</v>
      </c>
      <c r="AT17" t="s">
        <v>209</v>
      </c>
      <c r="AV17"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2.8787878787878469</v>
      </c>
      <c r="AW17" s="13">
        <f>2*(Дума_одномандатный[[#This Row],[Майданов Денис Васильевич]]-(AB$124/100)*Дума_одномандатный[[#This Row],[Число действительных избирательных бюллетеней]])</f>
        <v>3.7999999999999545</v>
      </c>
      <c r="AX17" s="13">
        <f>(Дума_одномандатный[[#This Row],[Вброс]]+Дума_одномандатный[[#This Row],[Перекладывание]])/2</f>
        <v>3.3393939393939007</v>
      </c>
      <c r="AY17" s="13">
        <f>Дума_партии[[#This Row],[Зона ответственности в сен. 2022 г.]]</f>
        <v>0</v>
      </c>
    </row>
    <row r="18" spans="1:51" x14ac:dyDescent="0.4">
      <c r="A18" t="s">
        <v>49</v>
      </c>
      <c r="B18" t="s">
        <v>50</v>
      </c>
      <c r="C18" t="s">
        <v>51</v>
      </c>
      <c r="D18" t="s">
        <v>102</v>
      </c>
      <c r="E18" t="s">
        <v>119</v>
      </c>
      <c r="F18" s="1">
        <f t="shared" ca="1" si="2"/>
        <v>1758</v>
      </c>
      <c r="G18" s="1" t="str">
        <f>Дума_партии[[#This Row],[Местоположение]]</f>
        <v>Наро-Фоминск</v>
      </c>
      <c r="H18">
        <v>1109</v>
      </c>
      <c r="I18" s="1">
        <f>Дума_одномандатный[[#This Row],[Число избирателей, внесенных в список избирателей на момент окончания голосования]]</f>
        <v>1109</v>
      </c>
      <c r="J18">
        <v>1100</v>
      </c>
      <c r="K18">
        <v>0</v>
      </c>
      <c r="L18">
        <v>379</v>
      </c>
      <c r="M18">
        <v>35</v>
      </c>
      <c r="N18" s="3">
        <f t="shared" si="0"/>
        <v>37.330928764652839</v>
      </c>
      <c r="O18" s="3">
        <f t="shared" si="1"/>
        <v>3.1559963931469794</v>
      </c>
      <c r="P18">
        <v>686</v>
      </c>
      <c r="Q18">
        <v>35</v>
      </c>
      <c r="R18">
        <v>379</v>
      </c>
      <c r="S18" s="1">
        <f t="shared" si="3"/>
        <v>414</v>
      </c>
      <c r="T18" s="3">
        <f t="shared" si="4"/>
        <v>8.454106280193237</v>
      </c>
      <c r="U18">
        <v>27</v>
      </c>
      <c r="V18" s="3">
        <f t="shared" si="5"/>
        <v>6.5217391304347823</v>
      </c>
      <c r="W18">
        <v>387</v>
      </c>
      <c r="X18">
        <v>0</v>
      </c>
      <c r="Y18">
        <v>0</v>
      </c>
      <c r="Z18">
        <v>19</v>
      </c>
      <c r="AA18" s="3">
        <f t="shared" si="6"/>
        <v>4.5893719806763285</v>
      </c>
      <c r="AB18">
        <v>27</v>
      </c>
      <c r="AC18" s="3">
        <f t="shared" si="6"/>
        <v>6.5217391304347823</v>
      </c>
      <c r="AD18">
        <v>44</v>
      </c>
      <c r="AE18" s="3">
        <f t="shared" si="7"/>
        <v>10.628019323671497</v>
      </c>
      <c r="AF18">
        <v>122</v>
      </c>
      <c r="AG18" s="3">
        <f t="shared" si="7"/>
        <v>29.468599033816425</v>
      </c>
      <c r="AH18">
        <v>44</v>
      </c>
      <c r="AI18" s="3">
        <f t="shared" si="8"/>
        <v>10.628019323671497</v>
      </c>
      <c r="AJ18">
        <v>45</v>
      </c>
      <c r="AK18" s="3">
        <f t="shared" si="8"/>
        <v>10.869565217391305</v>
      </c>
      <c r="AL18">
        <v>4</v>
      </c>
      <c r="AM18" s="3">
        <f t="shared" si="9"/>
        <v>0.96618357487922701</v>
      </c>
      <c r="AN18">
        <v>54</v>
      </c>
      <c r="AO18" s="3">
        <f t="shared" si="10"/>
        <v>13.043478260869565</v>
      </c>
      <c r="AP18">
        <v>20</v>
      </c>
      <c r="AQ18" s="3">
        <f t="shared" si="10"/>
        <v>4.8309178743961354</v>
      </c>
      <c r="AR18">
        <v>8</v>
      </c>
      <c r="AS18" s="3">
        <f t="shared" si="11"/>
        <v>1.932367149758454</v>
      </c>
      <c r="AT18" t="s">
        <v>209</v>
      </c>
      <c r="AV18"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-14.51515151515153</v>
      </c>
      <c r="AW18" s="13">
        <f>2*(Дума_одномандатный[[#This Row],[Майданов Денис Васильевич]]-(AB$124/100)*Дума_одномандатный[[#This Row],[Число действительных избирательных бюллетеней]])</f>
        <v>-19.160000000000025</v>
      </c>
      <c r="AX18" s="13">
        <f>(Дума_одномандатный[[#This Row],[Вброс]]+Дума_одномандатный[[#This Row],[Перекладывание]])/2</f>
        <v>-16.837575757575777</v>
      </c>
      <c r="AY18" s="13">
        <f>Дума_партии[[#This Row],[Зона ответственности в сен. 2022 г.]]</f>
        <v>0</v>
      </c>
    </row>
    <row r="19" spans="1:51" x14ac:dyDescent="0.4">
      <c r="A19" t="s">
        <v>49</v>
      </c>
      <c r="B19" t="s">
        <v>50</v>
      </c>
      <c r="C19" t="s">
        <v>51</v>
      </c>
      <c r="D19" t="s">
        <v>102</v>
      </c>
      <c r="E19" t="s">
        <v>120</v>
      </c>
      <c r="F19" s="1">
        <f t="shared" ca="1" si="2"/>
        <v>1759</v>
      </c>
      <c r="G19" s="1" t="str">
        <f>Дума_партии[[#This Row],[Местоположение]]</f>
        <v>Наро-Фоминск</v>
      </c>
      <c r="H19">
        <v>1091</v>
      </c>
      <c r="I19" s="1">
        <f>Дума_одномандатный[[#This Row],[Число избирателей, внесенных в список избирателей на момент окончания голосования]]</f>
        <v>1091</v>
      </c>
      <c r="J19">
        <v>800</v>
      </c>
      <c r="K19">
        <v>0</v>
      </c>
      <c r="L19">
        <v>475</v>
      </c>
      <c r="M19">
        <v>34</v>
      </c>
      <c r="N19" s="3">
        <f t="shared" si="0"/>
        <v>46.654445462878094</v>
      </c>
      <c r="O19" s="3">
        <f t="shared" si="1"/>
        <v>3.1164069660861595</v>
      </c>
      <c r="P19">
        <v>291</v>
      </c>
      <c r="Q19">
        <v>34</v>
      </c>
      <c r="R19">
        <v>475</v>
      </c>
      <c r="S19" s="1">
        <f t="shared" si="3"/>
        <v>509</v>
      </c>
      <c r="T19" s="3">
        <f t="shared" si="4"/>
        <v>6.6797642436149314</v>
      </c>
      <c r="U19">
        <v>37</v>
      </c>
      <c r="V19" s="3">
        <f t="shared" si="5"/>
        <v>7.269155206286837</v>
      </c>
      <c r="W19">
        <v>472</v>
      </c>
      <c r="X19">
        <v>0</v>
      </c>
      <c r="Y19">
        <v>0</v>
      </c>
      <c r="Z19">
        <v>14</v>
      </c>
      <c r="AA19" s="3">
        <f t="shared" ref="AA19:AC34" si="12">100*Z19/$S19</f>
        <v>2.7504911591355601</v>
      </c>
      <c r="AB19">
        <v>36</v>
      </c>
      <c r="AC19" s="3">
        <f t="shared" si="12"/>
        <v>7.0726915520628681</v>
      </c>
      <c r="AD19">
        <v>35</v>
      </c>
      <c r="AE19" s="3">
        <f t="shared" ref="AE19:AG34" si="13">100*AD19/$S19</f>
        <v>6.8762278978389002</v>
      </c>
      <c r="AF19">
        <v>191</v>
      </c>
      <c r="AG19" s="3">
        <f t="shared" si="13"/>
        <v>37.524557956777997</v>
      </c>
      <c r="AH19">
        <v>50</v>
      </c>
      <c r="AI19" s="3">
        <f t="shared" ref="AI19:AK34" si="14">100*AH19/$S19</f>
        <v>9.8231827111984291</v>
      </c>
      <c r="AJ19">
        <v>39</v>
      </c>
      <c r="AK19" s="3">
        <f t="shared" si="14"/>
        <v>7.6620825147347738</v>
      </c>
      <c r="AL19">
        <v>9</v>
      </c>
      <c r="AM19" s="3">
        <f t="shared" si="9"/>
        <v>1.768172888015717</v>
      </c>
      <c r="AN19">
        <v>77</v>
      </c>
      <c r="AO19" s="3">
        <f t="shared" ref="AO19:AQ34" si="15">100*AN19/$S19</f>
        <v>15.12770137524558</v>
      </c>
      <c r="AP19">
        <v>13</v>
      </c>
      <c r="AQ19" s="3">
        <f t="shared" si="15"/>
        <v>2.5540275049115913</v>
      </c>
      <c r="AR19">
        <v>8</v>
      </c>
      <c r="AS19" s="3">
        <f t="shared" si="11"/>
        <v>1.5717092337917484</v>
      </c>
      <c r="AT19" t="s">
        <v>209</v>
      </c>
      <c r="AV19"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46.242424242424221</v>
      </c>
      <c r="AW19" s="13">
        <f>2*(Дума_одномандатный[[#This Row],[Майданов Денис Васильевич]]-(AB$124/100)*Дума_одномандатный[[#This Row],[Число действительных избирательных бюллетеней]])</f>
        <v>61.039999999999964</v>
      </c>
      <c r="AX19" s="13">
        <f>(Дума_одномандатный[[#This Row],[Вброс]]+Дума_одномандатный[[#This Row],[Перекладывание]])/2</f>
        <v>53.641212121212092</v>
      </c>
      <c r="AY19" s="13">
        <f>Дума_партии[[#This Row],[Зона ответственности в сен. 2022 г.]]</f>
        <v>0</v>
      </c>
    </row>
    <row r="20" spans="1:51" x14ac:dyDescent="0.4">
      <c r="A20" t="s">
        <v>49</v>
      </c>
      <c r="B20" t="s">
        <v>50</v>
      </c>
      <c r="C20" t="s">
        <v>51</v>
      </c>
      <c r="D20" t="s">
        <v>102</v>
      </c>
      <c r="E20" t="s">
        <v>121</v>
      </c>
      <c r="F20" s="1">
        <f t="shared" ca="1" si="2"/>
        <v>1760</v>
      </c>
      <c r="G20" s="1" t="str">
        <f>Дума_партии[[#This Row],[Местоположение]]</f>
        <v>Ивановка</v>
      </c>
      <c r="H20">
        <v>353</v>
      </c>
      <c r="I20" s="1">
        <f>Дума_одномандатный[[#This Row],[Число избирателей, внесенных в список избирателей на момент окончания голосования]]</f>
        <v>353</v>
      </c>
      <c r="J20">
        <v>300</v>
      </c>
      <c r="K20">
        <v>0</v>
      </c>
      <c r="L20">
        <v>117</v>
      </c>
      <c r="M20">
        <v>51</v>
      </c>
      <c r="N20" s="3">
        <f t="shared" si="0"/>
        <v>47.592067988668553</v>
      </c>
      <c r="O20" s="3">
        <f t="shared" si="1"/>
        <v>14.447592067988669</v>
      </c>
      <c r="P20">
        <v>132</v>
      </c>
      <c r="Q20">
        <v>51</v>
      </c>
      <c r="R20">
        <v>117</v>
      </c>
      <c r="S20" s="1">
        <f t="shared" si="3"/>
        <v>168</v>
      </c>
      <c r="T20" s="3">
        <f t="shared" si="4"/>
        <v>30.357142857142858</v>
      </c>
      <c r="U20">
        <v>10</v>
      </c>
      <c r="V20" s="3">
        <f t="shared" si="5"/>
        <v>5.9523809523809526</v>
      </c>
      <c r="W20">
        <v>158</v>
      </c>
      <c r="X20">
        <v>0</v>
      </c>
      <c r="Y20">
        <v>0</v>
      </c>
      <c r="Z20">
        <v>3</v>
      </c>
      <c r="AA20" s="3">
        <f t="shared" si="12"/>
        <v>1.7857142857142858</v>
      </c>
      <c r="AB20">
        <v>7</v>
      </c>
      <c r="AC20" s="3">
        <f t="shared" si="12"/>
        <v>4.166666666666667</v>
      </c>
      <c r="AD20">
        <v>5</v>
      </c>
      <c r="AE20" s="3">
        <f t="shared" si="13"/>
        <v>2.9761904761904763</v>
      </c>
      <c r="AF20">
        <v>86</v>
      </c>
      <c r="AG20" s="3">
        <f t="shared" si="13"/>
        <v>51.19047619047619</v>
      </c>
      <c r="AH20">
        <v>18</v>
      </c>
      <c r="AI20" s="3">
        <f t="shared" si="14"/>
        <v>10.714285714285714</v>
      </c>
      <c r="AJ20">
        <v>18</v>
      </c>
      <c r="AK20" s="3">
        <f t="shared" si="14"/>
        <v>10.714285714285714</v>
      </c>
      <c r="AL20">
        <v>3</v>
      </c>
      <c r="AM20" s="3">
        <f t="shared" si="9"/>
        <v>1.7857142857142858</v>
      </c>
      <c r="AN20">
        <v>15</v>
      </c>
      <c r="AO20" s="3">
        <f t="shared" si="15"/>
        <v>8.9285714285714288</v>
      </c>
      <c r="AP20">
        <v>2</v>
      </c>
      <c r="AQ20" s="3">
        <f t="shared" si="15"/>
        <v>1.1904761904761905</v>
      </c>
      <c r="AR20">
        <v>1</v>
      </c>
      <c r="AS20" s="3">
        <f t="shared" si="11"/>
        <v>0.59523809523809523</v>
      </c>
      <c r="AT20" t="s">
        <v>209</v>
      </c>
      <c r="AV20"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48.909090909090899</v>
      </c>
      <c r="AW20" s="13">
        <f>2*(Дума_одномандатный[[#This Row],[Майданов Денис Васильевич]]-(AB$124/100)*Дума_одномандатный[[#This Row],[Число действительных избирательных бюллетеней]])</f>
        <v>64.559999999999988</v>
      </c>
      <c r="AX20" s="13">
        <f>(Дума_одномандатный[[#This Row],[Вброс]]+Дума_одномандатный[[#This Row],[Перекладывание]])/2</f>
        <v>56.73454545454544</v>
      </c>
      <c r="AY20" s="13">
        <f>Дума_партии[[#This Row],[Зона ответственности в сен. 2022 г.]]</f>
        <v>0</v>
      </c>
    </row>
    <row r="21" spans="1:51" x14ac:dyDescent="0.4">
      <c r="A21" t="s">
        <v>49</v>
      </c>
      <c r="B21" t="s">
        <v>50</v>
      </c>
      <c r="C21" t="s">
        <v>51</v>
      </c>
      <c r="D21" t="s">
        <v>102</v>
      </c>
      <c r="E21" t="s">
        <v>122</v>
      </c>
      <c r="F21" s="1">
        <f t="shared" ca="1" si="2"/>
        <v>1761</v>
      </c>
      <c r="G21" s="1" t="str">
        <f>Дума_партии[[#This Row],[Местоположение]]</f>
        <v>Наро-Фоминск</v>
      </c>
      <c r="H21">
        <v>1489</v>
      </c>
      <c r="I21" s="1">
        <f>Дума_одномандатный[[#This Row],[Число избирателей, внесенных в список избирателей на момент окончания голосования]]</f>
        <v>1489</v>
      </c>
      <c r="J21">
        <v>1500</v>
      </c>
      <c r="K21">
        <v>0</v>
      </c>
      <c r="L21">
        <v>634</v>
      </c>
      <c r="M21">
        <v>13</v>
      </c>
      <c r="N21" s="3">
        <f t="shared" si="0"/>
        <v>43.451981195433177</v>
      </c>
      <c r="O21" s="3">
        <f t="shared" si="1"/>
        <v>0.87306917394224315</v>
      </c>
      <c r="P21">
        <v>853</v>
      </c>
      <c r="Q21">
        <v>13</v>
      </c>
      <c r="R21">
        <v>634</v>
      </c>
      <c r="S21" s="1">
        <f t="shared" si="3"/>
        <v>647</v>
      </c>
      <c r="T21" s="3">
        <f t="shared" si="4"/>
        <v>2.009273570324575</v>
      </c>
      <c r="U21">
        <v>49</v>
      </c>
      <c r="V21" s="3">
        <f t="shared" si="5"/>
        <v>7.5734157650695515</v>
      </c>
      <c r="W21">
        <v>598</v>
      </c>
      <c r="X21">
        <v>0</v>
      </c>
      <c r="Y21">
        <v>0</v>
      </c>
      <c r="Z21">
        <v>33</v>
      </c>
      <c r="AA21" s="3">
        <f t="shared" si="12"/>
        <v>5.1004636785162285</v>
      </c>
      <c r="AB21">
        <v>39</v>
      </c>
      <c r="AC21" s="3">
        <f t="shared" si="12"/>
        <v>6.0278207109737245</v>
      </c>
      <c r="AD21">
        <v>40</v>
      </c>
      <c r="AE21" s="3">
        <f t="shared" si="13"/>
        <v>6.1823802163833079</v>
      </c>
      <c r="AF21">
        <v>194</v>
      </c>
      <c r="AG21" s="3">
        <f t="shared" si="13"/>
        <v>29.984544049459043</v>
      </c>
      <c r="AH21">
        <v>76</v>
      </c>
      <c r="AI21" s="3">
        <f t="shared" si="14"/>
        <v>11.746522411128284</v>
      </c>
      <c r="AJ21">
        <v>47</v>
      </c>
      <c r="AK21" s="3">
        <f t="shared" si="14"/>
        <v>7.2642967542503865</v>
      </c>
      <c r="AL21">
        <v>10</v>
      </c>
      <c r="AM21" s="3">
        <f t="shared" si="9"/>
        <v>1.545595054095827</v>
      </c>
      <c r="AN21">
        <v>122</v>
      </c>
      <c r="AO21" s="3">
        <f t="shared" si="15"/>
        <v>18.856259659969087</v>
      </c>
      <c r="AP21">
        <v>19</v>
      </c>
      <c r="AQ21" s="3">
        <f t="shared" si="15"/>
        <v>2.936630602782071</v>
      </c>
      <c r="AR21">
        <v>18</v>
      </c>
      <c r="AS21" s="3">
        <f t="shared" si="11"/>
        <v>2.7820710973724885</v>
      </c>
      <c r="AT21" t="s">
        <v>209</v>
      </c>
      <c r="AV21"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-14.121212121212153</v>
      </c>
      <c r="AW21" s="13">
        <f>2*(Дума_одномандатный[[#This Row],[Майданов Денис Васильевич]]-(AB$124/100)*Дума_одномандатный[[#This Row],[Число действительных избирательных бюллетеней]])</f>
        <v>-18.640000000000043</v>
      </c>
      <c r="AX21" s="13">
        <f>(Дума_одномандатный[[#This Row],[Вброс]]+Дума_одномандатный[[#This Row],[Перекладывание]])/2</f>
        <v>-16.380606060606098</v>
      </c>
      <c r="AY21" s="13">
        <f>Дума_партии[[#This Row],[Зона ответственности в сен. 2022 г.]]</f>
        <v>0</v>
      </c>
    </row>
    <row r="22" spans="1:51" x14ac:dyDescent="0.4">
      <c r="A22" t="s">
        <v>49</v>
      </c>
      <c r="B22" t="s">
        <v>50</v>
      </c>
      <c r="C22" t="s">
        <v>51</v>
      </c>
      <c r="D22" t="s">
        <v>102</v>
      </c>
      <c r="E22" t="s">
        <v>123</v>
      </c>
      <c r="F22" s="1">
        <f t="shared" ca="1" si="2"/>
        <v>1762</v>
      </c>
      <c r="G22" s="1" t="str">
        <f>Дума_партии[[#This Row],[Местоположение]]</f>
        <v>Наро-Фоминск</v>
      </c>
      <c r="H22">
        <v>1585</v>
      </c>
      <c r="I22" s="1">
        <f>Дума_одномандатный[[#This Row],[Число избирателей, внесенных в список избирателей на момент окончания голосования]]</f>
        <v>1585</v>
      </c>
      <c r="J22">
        <v>1500</v>
      </c>
      <c r="K22">
        <v>0</v>
      </c>
      <c r="L22">
        <v>645</v>
      </c>
      <c r="M22">
        <v>3</v>
      </c>
      <c r="N22" s="3">
        <f t="shared" si="0"/>
        <v>40.883280757097793</v>
      </c>
      <c r="O22" s="3">
        <f t="shared" si="1"/>
        <v>0.1892744479495268</v>
      </c>
      <c r="P22">
        <v>852</v>
      </c>
      <c r="Q22">
        <v>3</v>
      </c>
      <c r="R22">
        <v>645</v>
      </c>
      <c r="S22" s="1">
        <f t="shared" si="3"/>
        <v>648</v>
      </c>
      <c r="T22" s="3">
        <f t="shared" si="4"/>
        <v>0.46296296296296297</v>
      </c>
      <c r="U22">
        <v>47</v>
      </c>
      <c r="V22" s="3">
        <f t="shared" si="5"/>
        <v>7.2530864197530862</v>
      </c>
      <c r="W22">
        <v>601</v>
      </c>
      <c r="X22">
        <v>0</v>
      </c>
      <c r="Y22">
        <v>0</v>
      </c>
      <c r="Z22">
        <v>30</v>
      </c>
      <c r="AA22" s="3">
        <f t="shared" si="12"/>
        <v>4.6296296296296298</v>
      </c>
      <c r="AB22">
        <v>39</v>
      </c>
      <c r="AC22" s="3">
        <f t="shared" si="12"/>
        <v>6.0185185185185182</v>
      </c>
      <c r="AD22">
        <v>44</v>
      </c>
      <c r="AE22" s="3">
        <f t="shared" si="13"/>
        <v>6.7901234567901234</v>
      </c>
      <c r="AF22">
        <v>207</v>
      </c>
      <c r="AG22" s="3">
        <f t="shared" si="13"/>
        <v>31.944444444444443</v>
      </c>
      <c r="AH22">
        <v>87</v>
      </c>
      <c r="AI22" s="3">
        <f t="shared" si="14"/>
        <v>13.425925925925926</v>
      </c>
      <c r="AJ22">
        <v>27</v>
      </c>
      <c r="AK22" s="3">
        <f t="shared" si="14"/>
        <v>4.166666666666667</v>
      </c>
      <c r="AL22">
        <v>9</v>
      </c>
      <c r="AM22" s="3">
        <f t="shared" si="9"/>
        <v>1.3888888888888888</v>
      </c>
      <c r="AN22">
        <v>120</v>
      </c>
      <c r="AO22" s="3">
        <f t="shared" si="15"/>
        <v>18.518518518518519</v>
      </c>
      <c r="AP22">
        <v>30</v>
      </c>
      <c r="AQ22" s="3">
        <f t="shared" si="15"/>
        <v>4.6296296296296298</v>
      </c>
      <c r="AR22">
        <v>8</v>
      </c>
      <c r="AS22" s="3">
        <f t="shared" si="11"/>
        <v>1.2345679012345678</v>
      </c>
      <c r="AT22" t="s">
        <v>209</v>
      </c>
      <c r="AV22"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4.0303030303030027</v>
      </c>
      <c r="AW22" s="13">
        <f>2*(Дума_одномандатный[[#This Row],[Майданов Денис Васильевич]]-(AB$124/100)*Дума_одномандатный[[#This Row],[Число действительных избирательных бюллетеней]])</f>
        <v>5.3199999999999932</v>
      </c>
      <c r="AX22" s="13">
        <f>(Дума_одномандатный[[#This Row],[Вброс]]+Дума_одномандатный[[#This Row],[Перекладывание]])/2</f>
        <v>4.675151515151498</v>
      </c>
      <c r="AY22" s="13">
        <f>Дума_партии[[#This Row],[Зона ответственности в сен. 2022 г.]]</f>
        <v>0</v>
      </c>
    </row>
    <row r="23" spans="1:51" x14ac:dyDescent="0.4">
      <c r="A23" t="s">
        <v>49</v>
      </c>
      <c r="B23" t="s">
        <v>50</v>
      </c>
      <c r="C23" t="s">
        <v>51</v>
      </c>
      <c r="D23" t="s">
        <v>102</v>
      </c>
      <c r="E23" t="s">
        <v>124</v>
      </c>
      <c r="F23" s="1">
        <f t="shared" ca="1" si="2"/>
        <v>1763</v>
      </c>
      <c r="G23" s="1" t="str">
        <f>Дума_партии[[#This Row],[Местоположение]]</f>
        <v>Наро-Фоминск</v>
      </c>
      <c r="H23">
        <v>1364</v>
      </c>
      <c r="I23" s="1">
        <f>Дума_одномандатный[[#This Row],[Число избирателей, внесенных в список избирателей на момент окончания голосования]]</f>
        <v>1364</v>
      </c>
      <c r="J23">
        <v>1300</v>
      </c>
      <c r="K23">
        <v>0</v>
      </c>
      <c r="L23">
        <v>485</v>
      </c>
      <c r="M23">
        <v>34</v>
      </c>
      <c r="N23" s="3">
        <f t="shared" si="0"/>
        <v>38.049853372434015</v>
      </c>
      <c r="O23" s="3">
        <f t="shared" si="1"/>
        <v>2.4926686217008798</v>
      </c>
      <c r="P23">
        <v>781</v>
      </c>
      <c r="Q23">
        <v>34</v>
      </c>
      <c r="R23">
        <v>485</v>
      </c>
      <c r="S23" s="1">
        <f t="shared" si="3"/>
        <v>519</v>
      </c>
      <c r="T23" s="3">
        <f t="shared" si="4"/>
        <v>6.5510597302504818</v>
      </c>
      <c r="U23">
        <v>43</v>
      </c>
      <c r="V23" s="3">
        <f t="shared" si="5"/>
        <v>8.2851637764932562</v>
      </c>
      <c r="W23">
        <v>476</v>
      </c>
      <c r="X23">
        <v>0</v>
      </c>
      <c r="Y23">
        <v>0</v>
      </c>
      <c r="Z23">
        <v>11</v>
      </c>
      <c r="AA23" s="3">
        <f t="shared" si="12"/>
        <v>2.1194605009633913</v>
      </c>
      <c r="AB23">
        <v>26</v>
      </c>
      <c r="AC23" s="3">
        <f t="shared" si="12"/>
        <v>5.0096339113680157</v>
      </c>
      <c r="AD23">
        <v>34</v>
      </c>
      <c r="AE23" s="3">
        <f t="shared" si="13"/>
        <v>6.5510597302504818</v>
      </c>
      <c r="AF23">
        <v>285</v>
      </c>
      <c r="AG23" s="3">
        <f t="shared" si="13"/>
        <v>54.913294797687861</v>
      </c>
      <c r="AH23">
        <v>23</v>
      </c>
      <c r="AI23" s="3">
        <f t="shared" si="14"/>
        <v>4.4315992292870909</v>
      </c>
      <c r="AJ23">
        <v>16</v>
      </c>
      <c r="AK23" s="3">
        <f t="shared" si="14"/>
        <v>3.0828516377649327</v>
      </c>
      <c r="AL23">
        <v>10</v>
      </c>
      <c r="AM23" s="3">
        <f t="shared" si="9"/>
        <v>1.9267822736030829</v>
      </c>
      <c r="AN23">
        <v>49</v>
      </c>
      <c r="AO23" s="3">
        <f t="shared" si="15"/>
        <v>9.4412331406551058</v>
      </c>
      <c r="AP23">
        <v>14</v>
      </c>
      <c r="AQ23" s="3">
        <f t="shared" si="15"/>
        <v>2.6974951830443161</v>
      </c>
      <c r="AR23">
        <v>8</v>
      </c>
      <c r="AS23" s="3">
        <f t="shared" si="11"/>
        <v>1.5414258188824663</v>
      </c>
      <c r="AT23" t="s">
        <v>209</v>
      </c>
      <c r="AV23"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186.60606060606057</v>
      </c>
      <c r="AW23" s="13">
        <f>2*(Дума_одномандатный[[#This Row],[Майданов Денис Васильевич]]-(AB$124/100)*Дума_одномандатный[[#This Row],[Число действительных избирательных бюллетеней]])</f>
        <v>246.32</v>
      </c>
      <c r="AX23" s="13">
        <f>(Дума_одномандатный[[#This Row],[Вброс]]+Дума_одномандатный[[#This Row],[Перекладывание]])/2</f>
        <v>216.46303030303028</v>
      </c>
      <c r="AY23" s="13">
        <f>Дума_партии[[#This Row],[Зона ответственности в сен. 2022 г.]]</f>
        <v>0</v>
      </c>
    </row>
    <row r="24" spans="1:51" x14ac:dyDescent="0.4">
      <c r="A24" t="s">
        <v>49</v>
      </c>
      <c r="B24" t="s">
        <v>50</v>
      </c>
      <c r="C24" t="s">
        <v>51</v>
      </c>
      <c r="D24" t="s">
        <v>102</v>
      </c>
      <c r="E24" t="s">
        <v>125</v>
      </c>
      <c r="F24" s="1">
        <f t="shared" ca="1" si="2"/>
        <v>1764</v>
      </c>
      <c r="G24" s="1" t="str">
        <f>Дума_партии[[#This Row],[Местоположение]]</f>
        <v>Наро-Фоминск</v>
      </c>
      <c r="H24">
        <v>2052</v>
      </c>
      <c r="I24" s="1">
        <f>Дума_одномандатный[[#This Row],[Число избирателей, внесенных в список избирателей на момент окончания голосования]]</f>
        <v>2052</v>
      </c>
      <c r="J24">
        <v>2000</v>
      </c>
      <c r="K24">
        <v>0</v>
      </c>
      <c r="L24">
        <v>818</v>
      </c>
      <c r="M24">
        <v>15</v>
      </c>
      <c r="N24" s="3">
        <f t="shared" si="0"/>
        <v>40.594541910331387</v>
      </c>
      <c r="O24" s="3">
        <f t="shared" si="1"/>
        <v>0.73099415204678364</v>
      </c>
      <c r="P24">
        <v>1167</v>
      </c>
      <c r="Q24">
        <v>15</v>
      </c>
      <c r="R24">
        <v>818</v>
      </c>
      <c r="S24" s="1">
        <f t="shared" si="3"/>
        <v>833</v>
      </c>
      <c r="T24" s="3">
        <f t="shared" si="4"/>
        <v>1.8007202881152462</v>
      </c>
      <c r="U24">
        <v>0</v>
      </c>
      <c r="V24" s="3">
        <f t="shared" si="5"/>
        <v>0</v>
      </c>
      <c r="W24">
        <v>833</v>
      </c>
      <c r="X24">
        <v>0</v>
      </c>
      <c r="Y24">
        <v>0</v>
      </c>
      <c r="Z24">
        <v>0</v>
      </c>
      <c r="AA24" s="3">
        <f t="shared" si="12"/>
        <v>0</v>
      </c>
      <c r="AB24">
        <v>0</v>
      </c>
      <c r="AC24" s="3">
        <f t="shared" si="12"/>
        <v>0</v>
      </c>
      <c r="AD24">
        <v>0</v>
      </c>
      <c r="AE24" s="3">
        <f t="shared" si="13"/>
        <v>0</v>
      </c>
      <c r="AF24">
        <v>684</v>
      </c>
      <c r="AG24" s="3">
        <f t="shared" si="13"/>
        <v>82.112845138055221</v>
      </c>
      <c r="AH24">
        <v>72</v>
      </c>
      <c r="AI24" s="3">
        <f t="shared" si="14"/>
        <v>8.6434573829531818</v>
      </c>
      <c r="AJ24">
        <v>28</v>
      </c>
      <c r="AK24" s="3">
        <f t="shared" si="14"/>
        <v>3.3613445378151261</v>
      </c>
      <c r="AL24">
        <v>0</v>
      </c>
      <c r="AM24" s="3">
        <f t="shared" si="9"/>
        <v>0</v>
      </c>
      <c r="AN24">
        <v>0</v>
      </c>
      <c r="AO24" s="3">
        <f t="shared" si="15"/>
        <v>0</v>
      </c>
      <c r="AP24">
        <v>49</v>
      </c>
      <c r="AQ24" s="3">
        <f t="shared" si="15"/>
        <v>5.882352941176471</v>
      </c>
      <c r="AR24">
        <v>0</v>
      </c>
      <c r="AS24" s="3">
        <f t="shared" si="11"/>
        <v>0</v>
      </c>
      <c r="AT24" t="s">
        <v>209</v>
      </c>
      <c r="AV24"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607.24242424242425</v>
      </c>
      <c r="AW24" s="13">
        <f>2*(Дума_одномандатный[[#This Row],[Майданов Денис Васильевич]]-(AB$124/100)*Дума_одномандатный[[#This Row],[Число действительных избирательных бюллетеней]])</f>
        <v>801.56</v>
      </c>
      <c r="AX24" s="13">
        <f>(Дума_одномандатный[[#This Row],[Вброс]]+Дума_одномандатный[[#This Row],[Перекладывание]])/2</f>
        <v>704.4012121212121</v>
      </c>
      <c r="AY24" s="13">
        <f>Дума_партии[[#This Row],[Зона ответственности в сен. 2022 г.]]</f>
        <v>0</v>
      </c>
    </row>
    <row r="25" spans="1:51" x14ac:dyDescent="0.4">
      <c r="A25" t="s">
        <v>49</v>
      </c>
      <c r="B25" t="s">
        <v>50</v>
      </c>
      <c r="C25" t="s">
        <v>51</v>
      </c>
      <c r="D25" t="s">
        <v>102</v>
      </c>
      <c r="E25" t="s">
        <v>126</v>
      </c>
      <c r="F25" s="1">
        <f t="shared" ca="1" si="2"/>
        <v>1765</v>
      </c>
      <c r="G25" s="1" t="str">
        <f>Дума_партии[[#This Row],[Местоположение]]</f>
        <v>Бекасово</v>
      </c>
      <c r="H25">
        <v>866</v>
      </c>
      <c r="I25" s="1">
        <f>Дума_одномандатный[[#This Row],[Число избирателей, внесенных в список избирателей на момент окончания голосования]]</f>
        <v>866</v>
      </c>
      <c r="J25">
        <v>800</v>
      </c>
      <c r="K25">
        <v>0</v>
      </c>
      <c r="L25">
        <v>275</v>
      </c>
      <c r="M25">
        <v>8</v>
      </c>
      <c r="N25" s="3">
        <f t="shared" si="0"/>
        <v>32.678983833718242</v>
      </c>
      <c r="O25" s="3">
        <f t="shared" si="1"/>
        <v>0.92378752886836024</v>
      </c>
      <c r="P25">
        <v>517</v>
      </c>
      <c r="Q25">
        <v>8</v>
      </c>
      <c r="R25">
        <v>275</v>
      </c>
      <c r="S25" s="1">
        <f t="shared" si="3"/>
        <v>283</v>
      </c>
      <c r="T25" s="3">
        <f t="shared" si="4"/>
        <v>2.8268551236749118</v>
      </c>
      <c r="U25">
        <v>76</v>
      </c>
      <c r="V25" s="3">
        <f t="shared" si="5"/>
        <v>26.85512367491166</v>
      </c>
      <c r="W25">
        <v>207</v>
      </c>
      <c r="X25">
        <v>0</v>
      </c>
      <c r="Y25">
        <v>0</v>
      </c>
      <c r="Z25">
        <v>7</v>
      </c>
      <c r="AA25" s="3">
        <f t="shared" si="12"/>
        <v>2.4734982332155475</v>
      </c>
      <c r="AB25">
        <v>9</v>
      </c>
      <c r="AC25" s="3">
        <f t="shared" si="12"/>
        <v>3.1802120141342756</v>
      </c>
      <c r="AD25">
        <v>0</v>
      </c>
      <c r="AE25" s="3">
        <f t="shared" si="13"/>
        <v>0</v>
      </c>
      <c r="AF25">
        <v>130</v>
      </c>
      <c r="AG25" s="3">
        <f t="shared" si="13"/>
        <v>45.936395759717314</v>
      </c>
      <c r="AH25">
        <v>5</v>
      </c>
      <c r="AI25" s="3">
        <f t="shared" si="14"/>
        <v>1.7667844522968197</v>
      </c>
      <c r="AJ25">
        <v>6</v>
      </c>
      <c r="AK25" s="3">
        <f t="shared" si="14"/>
        <v>2.1201413427561837</v>
      </c>
      <c r="AL25">
        <v>0</v>
      </c>
      <c r="AM25" s="3">
        <f t="shared" si="9"/>
        <v>0</v>
      </c>
      <c r="AN25">
        <v>6</v>
      </c>
      <c r="AO25" s="3">
        <f t="shared" si="15"/>
        <v>2.1201413427561837</v>
      </c>
      <c r="AP25">
        <v>9</v>
      </c>
      <c r="AQ25" s="3">
        <f t="shared" si="15"/>
        <v>3.1802120141342756</v>
      </c>
      <c r="AR25">
        <v>35</v>
      </c>
      <c r="AS25" s="3">
        <f t="shared" si="11"/>
        <v>12.367491166077739</v>
      </c>
      <c r="AT25" t="s">
        <v>209</v>
      </c>
      <c r="AV25"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90.333333333333329</v>
      </c>
      <c r="AW25" s="13">
        <f>2*(Дума_одномандатный[[#This Row],[Майданов Денис Васильевич]]-(AB$124/100)*Дума_одномандатный[[#This Row],[Число действительных избирательных бюллетеней]])</f>
        <v>119.23999999999998</v>
      </c>
      <c r="AX25" s="13">
        <f>(Дума_одномандатный[[#This Row],[Вброс]]+Дума_одномандатный[[#This Row],[Перекладывание]])/2</f>
        <v>104.78666666666666</v>
      </c>
      <c r="AY25" s="13">
        <f>Дума_партии[[#This Row],[Зона ответственности в сен. 2022 г.]]</f>
        <v>0</v>
      </c>
    </row>
    <row r="26" spans="1:51" x14ac:dyDescent="0.4">
      <c r="A26" t="s">
        <v>49</v>
      </c>
      <c r="B26" t="s">
        <v>50</v>
      </c>
      <c r="C26" t="s">
        <v>51</v>
      </c>
      <c r="D26" t="s">
        <v>102</v>
      </c>
      <c r="E26" t="s">
        <v>127</v>
      </c>
      <c r="F26" s="1">
        <f t="shared" ca="1" si="2"/>
        <v>1766</v>
      </c>
      <c r="G26" s="1" t="str">
        <f>Дума_партии[[#This Row],[Местоположение]]</f>
        <v>Наро-Фоминск</v>
      </c>
      <c r="H26">
        <v>1117</v>
      </c>
      <c r="I26" s="1">
        <f>Дума_одномандатный[[#This Row],[Число избирателей, внесенных в список избирателей на момент окончания голосования]]</f>
        <v>1117</v>
      </c>
      <c r="J26">
        <v>1100</v>
      </c>
      <c r="K26">
        <v>0</v>
      </c>
      <c r="L26">
        <v>381</v>
      </c>
      <c r="M26">
        <v>14</v>
      </c>
      <c r="N26" s="3">
        <f t="shared" si="0"/>
        <v>35.362578334825429</v>
      </c>
      <c r="O26" s="3">
        <f t="shared" si="1"/>
        <v>1.2533572068039391</v>
      </c>
      <c r="P26">
        <v>705</v>
      </c>
      <c r="Q26">
        <v>14</v>
      </c>
      <c r="R26">
        <v>379</v>
      </c>
      <c r="S26" s="1">
        <f t="shared" si="3"/>
        <v>393</v>
      </c>
      <c r="T26" s="3">
        <f t="shared" si="4"/>
        <v>3.5623409669211195</v>
      </c>
      <c r="U26">
        <v>37</v>
      </c>
      <c r="V26" s="3">
        <f t="shared" si="5"/>
        <v>9.4147582697201013</v>
      </c>
      <c r="W26">
        <v>356</v>
      </c>
      <c r="X26">
        <v>0</v>
      </c>
      <c r="Y26">
        <v>0</v>
      </c>
      <c r="Z26">
        <v>16</v>
      </c>
      <c r="AA26" s="3">
        <f t="shared" si="12"/>
        <v>4.0712468193384224</v>
      </c>
      <c r="AB26">
        <v>20</v>
      </c>
      <c r="AC26" s="3">
        <f t="shared" si="12"/>
        <v>5.0890585241730282</v>
      </c>
      <c r="AD26">
        <v>22</v>
      </c>
      <c r="AE26" s="3">
        <f t="shared" si="13"/>
        <v>5.5979643765903306</v>
      </c>
      <c r="AF26">
        <v>126</v>
      </c>
      <c r="AG26" s="3">
        <f t="shared" si="13"/>
        <v>32.061068702290079</v>
      </c>
      <c r="AH26">
        <v>46</v>
      </c>
      <c r="AI26" s="3">
        <f t="shared" si="14"/>
        <v>11.704834605597965</v>
      </c>
      <c r="AJ26">
        <v>27</v>
      </c>
      <c r="AK26" s="3">
        <f t="shared" si="14"/>
        <v>6.8702290076335881</v>
      </c>
      <c r="AL26">
        <v>3</v>
      </c>
      <c r="AM26" s="3">
        <f t="shared" si="9"/>
        <v>0.76335877862595425</v>
      </c>
      <c r="AN26">
        <v>55</v>
      </c>
      <c r="AO26" s="3">
        <f t="shared" si="15"/>
        <v>13.994910941475826</v>
      </c>
      <c r="AP26">
        <v>23</v>
      </c>
      <c r="AQ26" s="3">
        <f t="shared" si="15"/>
        <v>5.8524173027989823</v>
      </c>
      <c r="AR26">
        <v>18</v>
      </c>
      <c r="AS26" s="3">
        <f t="shared" si="11"/>
        <v>4.5801526717557248</v>
      </c>
      <c r="AT26" t="s">
        <v>209</v>
      </c>
      <c r="AV26"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7.5151515151514872</v>
      </c>
      <c r="AW26" s="13">
        <f>2*(Дума_одномандатный[[#This Row],[Майданов Денис Васильевич]]-(AB$124/100)*Дума_одномандатный[[#This Row],[Число действительных избирательных бюллетеней]])</f>
        <v>9.9199999999999875</v>
      </c>
      <c r="AX26" s="13">
        <f>(Дума_одномандатный[[#This Row],[Вброс]]+Дума_одномандатный[[#This Row],[Перекладывание]])/2</f>
        <v>8.7175757575757373</v>
      </c>
      <c r="AY26" s="13">
        <f>Дума_партии[[#This Row],[Зона ответственности в сен. 2022 г.]]</f>
        <v>0</v>
      </c>
    </row>
    <row r="27" spans="1:51" x14ac:dyDescent="0.4">
      <c r="A27" t="s">
        <v>49</v>
      </c>
      <c r="B27" t="s">
        <v>50</v>
      </c>
      <c r="C27" t="s">
        <v>51</v>
      </c>
      <c r="D27" t="s">
        <v>102</v>
      </c>
      <c r="E27" t="s">
        <v>128</v>
      </c>
      <c r="F27" s="1">
        <f t="shared" ca="1" si="2"/>
        <v>1767</v>
      </c>
      <c r="G27" s="1" t="str">
        <f>Дума_партии[[#This Row],[Местоположение]]</f>
        <v>Наро-Фоминск</v>
      </c>
      <c r="H27">
        <v>2848</v>
      </c>
      <c r="I27" s="1">
        <f>Дума_одномандатный[[#This Row],[Число избирателей, внесенных в список избирателей на момент окончания голосования]]</f>
        <v>2848</v>
      </c>
      <c r="J27">
        <v>2900</v>
      </c>
      <c r="K27">
        <v>0</v>
      </c>
      <c r="L27">
        <v>1319</v>
      </c>
      <c r="M27">
        <v>0</v>
      </c>
      <c r="N27" s="3">
        <f t="shared" si="0"/>
        <v>46.313202247191015</v>
      </c>
      <c r="O27" s="3">
        <f t="shared" si="1"/>
        <v>0</v>
      </c>
      <c r="P27">
        <v>1581</v>
      </c>
      <c r="Q27">
        <v>0</v>
      </c>
      <c r="R27">
        <v>1319</v>
      </c>
      <c r="S27" s="1">
        <f t="shared" si="3"/>
        <v>1319</v>
      </c>
      <c r="T27" s="3">
        <f t="shared" si="4"/>
        <v>0</v>
      </c>
      <c r="U27">
        <v>81</v>
      </c>
      <c r="V27" s="3">
        <f t="shared" si="5"/>
        <v>6.1410159211523885</v>
      </c>
      <c r="W27">
        <v>1238</v>
      </c>
      <c r="X27">
        <v>0</v>
      </c>
      <c r="Y27">
        <v>0</v>
      </c>
      <c r="Z27">
        <v>54</v>
      </c>
      <c r="AA27" s="3">
        <f t="shared" si="12"/>
        <v>4.0940106141015917</v>
      </c>
      <c r="AB27">
        <v>95</v>
      </c>
      <c r="AC27" s="3">
        <f t="shared" si="12"/>
        <v>7.202426080363912</v>
      </c>
      <c r="AD27">
        <v>70</v>
      </c>
      <c r="AE27" s="3">
        <f t="shared" si="13"/>
        <v>5.3070507960576192</v>
      </c>
      <c r="AF27">
        <v>601</v>
      </c>
      <c r="AG27" s="3">
        <f t="shared" si="13"/>
        <v>45.564821834723276</v>
      </c>
      <c r="AH27">
        <v>118</v>
      </c>
      <c r="AI27" s="3">
        <f t="shared" si="14"/>
        <v>8.9461713419257016</v>
      </c>
      <c r="AJ27">
        <v>103</v>
      </c>
      <c r="AK27" s="3">
        <f t="shared" si="14"/>
        <v>7.8089461713419253</v>
      </c>
      <c r="AL27">
        <v>42</v>
      </c>
      <c r="AM27" s="3">
        <f t="shared" si="9"/>
        <v>3.1842304776345718</v>
      </c>
      <c r="AN27">
        <v>102</v>
      </c>
      <c r="AO27" s="3">
        <f t="shared" si="15"/>
        <v>7.7331311599696742</v>
      </c>
      <c r="AP27">
        <v>36</v>
      </c>
      <c r="AQ27" s="3">
        <f t="shared" si="15"/>
        <v>2.7293404094010616</v>
      </c>
      <c r="AR27">
        <v>17</v>
      </c>
      <c r="AS27" s="3">
        <f t="shared" si="11"/>
        <v>1.288855193328279</v>
      </c>
      <c r="AT27" t="s">
        <v>209</v>
      </c>
      <c r="AV27"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272.84848484848476</v>
      </c>
      <c r="AW27" s="13">
        <f>2*(Дума_одномандатный[[#This Row],[Майданов Денис Васильевич]]-(AB$124/100)*Дума_одномандатный[[#This Row],[Число действительных избирательных бюллетеней]])</f>
        <v>360.15999999999997</v>
      </c>
      <c r="AX27" s="13">
        <f>(Дума_одномандатный[[#This Row],[Вброс]]+Дума_одномандатный[[#This Row],[Перекладывание]])/2</f>
        <v>316.50424242424236</v>
      </c>
      <c r="AY27" s="13">
        <f>Дума_партии[[#This Row],[Зона ответственности в сен. 2022 г.]]</f>
        <v>0</v>
      </c>
    </row>
    <row r="28" spans="1:51" x14ac:dyDescent="0.4">
      <c r="A28" t="s">
        <v>49</v>
      </c>
      <c r="B28" t="s">
        <v>50</v>
      </c>
      <c r="C28" t="s">
        <v>51</v>
      </c>
      <c r="D28" t="s">
        <v>102</v>
      </c>
      <c r="E28" t="s">
        <v>129</v>
      </c>
      <c r="F28" s="1">
        <f t="shared" ca="1" si="2"/>
        <v>1768</v>
      </c>
      <c r="G28" s="1" t="str">
        <f>Дума_партии[[#This Row],[Местоположение]]</f>
        <v>Наро-Фоминск</v>
      </c>
      <c r="H28">
        <v>2262</v>
      </c>
      <c r="I28" s="1">
        <f>Дума_одномандатный[[#This Row],[Число избирателей, внесенных в список избирателей на момент окончания голосования]]</f>
        <v>2262</v>
      </c>
      <c r="J28">
        <v>3000</v>
      </c>
      <c r="K28">
        <v>0</v>
      </c>
      <c r="L28">
        <v>634</v>
      </c>
      <c r="M28">
        <v>799</v>
      </c>
      <c r="N28" s="3">
        <f t="shared" si="0"/>
        <v>63.351016799292658</v>
      </c>
      <c r="O28" s="3">
        <f t="shared" si="1"/>
        <v>35.322723253757736</v>
      </c>
      <c r="P28">
        <v>1565</v>
      </c>
      <c r="Q28">
        <v>799</v>
      </c>
      <c r="R28">
        <v>634</v>
      </c>
      <c r="S28" s="1">
        <f t="shared" si="3"/>
        <v>1433</v>
      </c>
      <c r="T28" s="3">
        <f t="shared" si="4"/>
        <v>55.757152826238659</v>
      </c>
      <c r="U28">
        <v>35</v>
      </c>
      <c r="V28" s="3">
        <f t="shared" si="5"/>
        <v>2.4424284717376135</v>
      </c>
      <c r="W28">
        <v>1398</v>
      </c>
      <c r="X28">
        <v>2</v>
      </c>
      <c r="Y28">
        <v>0</v>
      </c>
      <c r="Z28">
        <v>23</v>
      </c>
      <c r="AA28" s="3">
        <f t="shared" si="12"/>
        <v>1.6050244242847174</v>
      </c>
      <c r="AB28">
        <v>44</v>
      </c>
      <c r="AC28" s="3">
        <f t="shared" si="12"/>
        <v>3.0704815073272855</v>
      </c>
      <c r="AD28">
        <v>46</v>
      </c>
      <c r="AE28" s="3">
        <f t="shared" si="13"/>
        <v>3.2100488485694347</v>
      </c>
      <c r="AF28">
        <v>994</v>
      </c>
      <c r="AG28" s="3">
        <f t="shared" si="13"/>
        <v>69.364968597348224</v>
      </c>
      <c r="AH28">
        <v>72</v>
      </c>
      <c r="AI28" s="3">
        <f t="shared" si="14"/>
        <v>5.0244242847173766</v>
      </c>
      <c r="AJ28">
        <v>55</v>
      </c>
      <c r="AK28" s="3">
        <f t="shared" si="14"/>
        <v>3.8381018841591068</v>
      </c>
      <c r="AL28">
        <v>10</v>
      </c>
      <c r="AM28" s="3">
        <f t="shared" si="9"/>
        <v>0.69783670621074667</v>
      </c>
      <c r="AN28">
        <v>103</v>
      </c>
      <c r="AO28" s="3">
        <f t="shared" si="15"/>
        <v>7.1877180739706912</v>
      </c>
      <c r="AP28">
        <v>36</v>
      </c>
      <c r="AQ28" s="3">
        <f t="shared" si="15"/>
        <v>2.5122121423586883</v>
      </c>
      <c r="AR28">
        <v>15</v>
      </c>
      <c r="AS28" s="3">
        <f t="shared" si="11"/>
        <v>1.0467550593161201</v>
      </c>
      <c r="AT28" t="s">
        <v>209</v>
      </c>
      <c r="AV28"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785.87878787878788</v>
      </c>
      <c r="AW28" s="13">
        <f>2*(Дума_одномандатный[[#This Row],[Майданов Денис Васильевич]]-(AB$124/100)*Дума_одномандатный[[#This Row],[Число действительных избирательных бюллетеней]])</f>
        <v>1037.3599999999999</v>
      </c>
      <c r="AX28" s="13">
        <f>(Дума_одномандатный[[#This Row],[Вброс]]+Дума_одномандатный[[#This Row],[Перекладывание]])/2</f>
        <v>911.61939393939383</v>
      </c>
      <c r="AY28" s="13">
        <f>Дума_партии[[#This Row],[Зона ответственности в сен. 2022 г.]]</f>
        <v>0</v>
      </c>
    </row>
    <row r="29" spans="1:51" x14ac:dyDescent="0.4">
      <c r="A29" t="s">
        <v>49</v>
      </c>
      <c r="B29" t="s">
        <v>50</v>
      </c>
      <c r="C29" t="s">
        <v>51</v>
      </c>
      <c r="D29" t="s">
        <v>102</v>
      </c>
      <c r="E29" t="s">
        <v>130</v>
      </c>
      <c r="F29" s="1">
        <f t="shared" ca="1" si="2"/>
        <v>1769</v>
      </c>
      <c r="G29" s="1" t="str">
        <f>Дума_партии[[#This Row],[Местоположение]]</f>
        <v>Наро-Фоминск</v>
      </c>
      <c r="H29">
        <v>1797</v>
      </c>
      <c r="I29" s="1">
        <f>Дума_одномандатный[[#This Row],[Число избирателей, внесенных в список избирателей на момент окончания голосования]]</f>
        <v>1797</v>
      </c>
      <c r="J29">
        <v>2500</v>
      </c>
      <c r="K29">
        <v>0</v>
      </c>
      <c r="L29">
        <v>414</v>
      </c>
      <c r="M29">
        <v>563</v>
      </c>
      <c r="N29" s="3">
        <f t="shared" si="0"/>
        <v>54.368391764051196</v>
      </c>
      <c r="O29" s="3">
        <f t="shared" si="1"/>
        <v>31.329994435169727</v>
      </c>
      <c r="P29">
        <v>1523</v>
      </c>
      <c r="Q29">
        <v>563</v>
      </c>
      <c r="R29">
        <v>414</v>
      </c>
      <c r="S29" s="1">
        <f t="shared" si="3"/>
        <v>977</v>
      </c>
      <c r="T29" s="3">
        <f t="shared" si="4"/>
        <v>57.625383828045038</v>
      </c>
      <c r="U29">
        <v>53</v>
      </c>
      <c r="V29" s="3">
        <f t="shared" si="5"/>
        <v>5.4247697031729789</v>
      </c>
      <c r="W29">
        <v>924</v>
      </c>
      <c r="X29">
        <v>0</v>
      </c>
      <c r="Y29">
        <v>0</v>
      </c>
      <c r="Z29">
        <v>32</v>
      </c>
      <c r="AA29" s="3">
        <f t="shared" si="12"/>
        <v>3.2753326509723646</v>
      </c>
      <c r="AB29">
        <v>47</v>
      </c>
      <c r="AC29" s="3">
        <f t="shared" si="12"/>
        <v>4.8106448311156598</v>
      </c>
      <c r="AD29">
        <v>53</v>
      </c>
      <c r="AE29" s="3">
        <f t="shared" si="13"/>
        <v>5.4247697031729789</v>
      </c>
      <c r="AF29">
        <v>470</v>
      </c>
      <c r="AG29" s="3">
        <f t="shared" si="13"/>
        <v>48.106448311156605</v>
      </c>
      <c r="AH29">
        <v>95</v>
      </c>
      <c r="AI29" s="3">
        <f t="shared" si="14"/>
        <v>9.7236438075742075</v>
      </c>
      <c r="AJ29">
        <v>60</v>
      </c>
      <c r="AK29" s="3">
        <f t="shared" si="14"/>
        <v>6.1412487205731834</v>
      </c>
      <c r="AL29">
        <v>25</v>
      </c>
      <c r="AM29" s="3">
        <f t="shared" si="9"/>
        <v>2.5588536335721597</v>
      </c>
      <c r="AN29">
        <v>103</v>
      </c>
      <c r="AO29" s="3">
        <f t="shared" si="15"/>
        <v>10.542476970317297</v>
      </c>
      <c r="AP29">
        <v>21</v>
      </c>
      <c r="AQ29" s="3">
        <f t="shared" si="15"/>
        <v>2.1494370522006143</v>
      </c>
      <c r="AR29">
        <v>18</v>
      </c>
      <c r="AS29" s="3">
        <f t="shared" si="11"/>
        <v>1.842374616171955</v>
      </c>
      <c r="AT29" t="s">
        <v>209</v>
      </c>
      <c r="AV29"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236.12121212121207</v>
      </c>
      <c r="AW29" s="13">
        <f>2*(Дума_одномандатный[[#This Row],[Майданов Денис Васильевич]]-(AB$124/100)*Дума_одномандатный[[#This Row],[Число действительных избирательных бюллетеней]])</f>
        <v>311.67999999999995</v>
      </c>
      <c r="AX29" s="13">
        <f>(Дума_одномандатный[[#This Row],[Вброс]]+Дума_одномандатный[[#This Row],[Перекладывание]])/2</f>
        <v>273.90060606060604</v>
      </c>
      <c r="AY29" s="13">
        <f>Дума_партии[[#This Row],[Зона ответственности в сен. 2022 г.]]</f>
        <v>0</v>
      </c>
    </row>
    <row r="30" spans="1:51" x14ac:dyDescent="0.4">
      <c r="A30" t="s">
        <v>49</v>
      </c>
      <c r="B30" t="s">
        <v>50</v>
      </c>
      <c r="C30" t="s">
        <v>51</v>
      </c>
      <c r="D30" t="s">
        <v>102</v>
      </c>
      <c r="E30" t="s">
        <v>131</v>
      </c>
      <c r="F30" s="1">
        <f t="shared" ca="1" si="2"/>
        <v>1770</v>
      </c>
      <c r="G30" s="1" t="str">
        <f>Дума_партии[[#This Row],[Местоположение]]</f>
        <v>Наро-Фоминск</v>
      </c>
      <c r="H30">
        <v>1810</v>
      </c>
      <c r="I30" s="1">
        <f>Дума_одномандатный[[#This Row],[Число избирателей, внесенных в список избирателей на момент окончания голосования]]</f>
        <v>1810</v>
      </c>
      <c r="J30">
        <v>2500</v>
      </c>
      <c r="K30">
        <v>0</v>
      </c>
      <c r="L30">
        <v>562</v>
      </c>
      <c r="M30">
        <v>343</v>
      </c>
      <c r="N30" s="3">
        <f t="shared" si="0"/>
        <v>50</v>
      </c>
      <c r="O30" s="3">
        <f t="shared" si="1"/>
        <v>18.950276243093924</v>
      </c>
      <c r="P30">
        <v>1595</v>
      </c>
      <c r="Q30">
        <v>343</v>
      </c>
      <c r="R30">
        <v>562</v>
      </c>
      <c r="S30" s="1">
        <f t="shared" si="3"/>
        <v>905</v>
      </c>
      <c r="T30" s="3">
        <f t="shared" si="4"/>
        <v>37.900552486187848</v>
      </c>
      <c r="U30">
        <v>78</v>
      </c>
      <c r="V30" s="3">
        <f t="shared" si="5"/>
        <v>8.6187845303867405</v>
      </c>
      <c r="W30">
        <v>827</v>
      </c>
      <c r="X30">
        <v>0</v>
      </c>
      <c r="Y30">
        <v>0</v>
      </c>
      <c r="Z30">
        <v>24</v>
      </c>
      <c r="AA30" s="3">
        <f t="shared" si="12"/>
        <v>2.6519337016574585</v>
      </c>
      <c r="AB30">
        <v>46</v>
      </c>
      <c r="AC30" s="3">
        <f t="shared" si="12"/>
        <v>5.0828729281767959</v>
      </c>
      <c r="AD30">
        <v>50</v>
      </c>
      <c r="AE30" s="3">
        <f t="shared" si="13"/>
        <v>5.5248618784530388</v>
      </c>
      <c r="AF30">
        <v>418</v>
      </c>
      <c r="AG30" s="3">
        <f t="shared" si="13"/>
        <v>46.187845303867405</v>
      </c>
      <c r="AH30">
        <v>86</v>
      </c>
      <c r="AI30" s="3">
        <f t="shared" si="14"/>
        <v>9.5027624309392262</v>
      </c>
      <c r="AJ30">
        <v>53</v>
      </c>
      <c r="AK30" s="3">
        <f t="shared" si="14"/>
        <v>5.8563535911602207</v>
      </c>
      <c r="AL30">
        <v>11</v>
      </c>
      <c r="AM30" s="3">
        <f t="shared" si="9"/>
        <v>1.2154696132596685</v>
      </c>
      <c r="AN30">
        <v>91</v>
      </c>
      <c r="AO30" s="3">
        <f t="shared" si="15"/>
        <v>10.05524861878453</v>
      </c>
      <c r="AP30">
        <v>23</v>
      </c>
      <c r="AQ30" s="3">
        <f t="shared" si="15"/>
        <v>2.541436464088398</v>
      </c>
      <c r="AR30">
        <v>25</v>
      </c>
      <c r="AS30" s="3">
        <f t="shared" si="11"/>
        <v>2.7624309392265194</v>
      </c>
      <c r="AT30" t="s">
        <v>209</v>
      </c>
      <c r="AV30"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207.30303030303025</v>
      </c>
      <c r="AW30" s="13">
        <f>2*(Дума_одномандатный[[#This Row],[Майданов Денис Васильевич]]-(AB$124/100)*Дума_одномандатный[[#This Row],[Число действительных избирательных бюллетеней]])</f>
        <v>273.64</v>
      </c>
      <c r="AX30" s="13">
        <f>(Дума_одномандатный[[#This Row],[Вброс]]+Дума_одномандатный[[#This Row],[Перекладывание]])/2</f>
        <v>240.47151515151512</v>
      </c>
      <c r="AY30" s="13">
        <f>Дума_партии[[#This Row],[Зона ответственности в сен. 2022 г.]]</f>
        <v>0</v>
      </c>
    </row>
    <row r="31" spans="1:51" x14ac:dyDescent="0.4">
      <c r="A31" t="s">
        <v>49</v>
      </c>
      <c r="B31" t="s">
        <v>50</v>
      </c>
      <c r="C31" t="s">
        <v>51</v>
      </c>
      <c r="D31" t="s">
        <v>102</v>
      </c>
      <c r="E31" t="s">
        <v>132</v>
      </c>
      <c r="F31" s="1">
        <f t="shared" ca="1" si="2"/>
        <v>1771</v>
      </c>
      <c r="G31" s="1" t="str">
        <f>Дума_партии[[#This Row],[Местоположение]]</f>
        <v>Наро-Фоминск</v>
      </c>
      <c r="H31">
        <v>1197</v>
      </c>
      <c r="I31" s="1">
        <f>Дума_одномандатный[[#This Row],[Число избирателей, внесенных в список избирателей на момент окончания голосования]]</f>
        <v>1197</v>
      </c>
      <c r="J31">
        <v>1200</v>
      </c>
      <c r="K31">
        <v>0</v>
      </c>
      <c r="L31">
        <v>424</v>
      </c>
      <c r="M31">
        <v>8</v>
      </c>
      <c r="N31" s="3">
        <f t="shared" si="0"/>
        <v>36.090225563909776</v>
      </c>
      <c r="O31" s="3">
        <f t="shared" si="1"/>
        <v>0.66833751044277356</v>
      </c>
      <c r="P31">
        <v>768</v>
      </c>
      <c r="Q31">
        <v>8</v>
      </c>
      <c r="R31">
        <v>424</v>
      </c>
      <c r="S31" s="1">
        <f t="shared" si="3"/>
        <v>432</v>
      </c>
      <c r="T31" s="3">
        <f t="shared" si="4"/>
        <v>1.8518518518518519</v>
      </c>
      <c r="U31">
        <v>33</v>
      </c>
      <c r="V31" s="3">
        <f t="shared" si="5"/>
        <v>7.6388888888888893</v>
      </c>
      <c r="W31">
        <v>399</v>
      </c>
      <c r="X31">
        <v>0</v>
      </c>
      <c r="Y31">
        <v>0</v>
      </c>
      <c r="Z31">
        <v>8</v>
      </c>
      <c r="AA31" s="3">
        <f t="shared" si="12"/>
        <v>1.8518518518518519</v>
      </c>
      <c r="AB31">
        <v>22</v>
      </c>
      <c r="AC31" s="3">
        <f t="shared" si="12"/>
        <v>5.0925925925925926</v>
      </c>
      <c r="AD31">
        <v>30</v>
      </c>
      <c r="AE31" s="3">
        <f t="shared" si="13"/>
        <v>6.9444444444444446</v>
      </c>
      <c r="AF31">
        <v>154</v>
      </c>
      <c r="AG31" s="3">
        <f t="shared" si="13"/>
        <v>35.648148148148145</v>
      </c>
      <c r="AH31">
        <v>38</v>
      </c>
      <c r="AI31" s="3">
        <f t="shared" si="14"/>
        <v>8.7962962962962958</v>
      </c>
      <c r="AJ31">
        <v>31</v>
      </c>
      <c r="AK31" s="3">
        <f t="shared" si="14"/>
        <v>7.1759259259259256</v>
      </c>
      <c r="AL31">
        <v>10</v>
      </c>
      <c r="AM31" s="3">
        <f t="shared" si="9"/>
        <v>2.3148148148148149</v>
      </c>
      <c r="AN31">
        <v>66</v>
      </c>
      <c r="AO31" s="3">
        <f t="shared" si="15"/>
        <v>15.277777777777779</v>
      </c>
      <c r="AP31">
        <v>29</v>
      </c>
      <c r="AQ31" s="3">
        <f t="shared" si="15"/>
        <v>6.7129629629629628</v>
      </c>
      <c r="AR31">
        <v>11</v>
      </c>
      <c r="AS31" s="3">
        <f t="shared" si="11"/>
        <v>2.5462962962962963</v>
      </c>
      <c r="AT31" t="s">
        <v>209</v>
      </c>
      <c r="AV31"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27.787878787878768</v>
      </c>
      <c r="AW31" s="13">
        <f>2*(Дума_одномандатный[[#This Row],[Майданов Денис Васильевич]]-(AB$124/100)*Дума_одномандатный[[#This Row],[Число действительных избирательных бюллетеней]])</f>
        <v>36.680000000000007</v>
      </c>
      <c r="AX31" s="13">
        <f>(Дума_одномандатный[[#This Row],[Вброс]]+Дума_одномандатный[[#This Row],[Перекладывание]])/2</f>
        <v>32.233939393939387</v>
      </c>
      <c r="AY31" s="13">
        <f>Дума_партии[[#This Row],[Зона ответственности в сен. 2022 г.]]</f>
        <v>0</v>
      </c>
    </row>
    <row r="32" spans="1:51" x14ac:dyDescent="0.4">
      <c r="A32" t="s">
        <v>49</v>
      </c>
      <c r="B32" t="s">
        <v>50</v>
      </c>
      <c r="C32" t="s">
        <v>51</v>
      </c>
      <c r="D32" t="s">
        <v>102</v>
      </c>
      <c r="E32" t="s">
        <v>133</v>
      </c>
      <c r="F32" s="1">
        <f t="shared" ca="1" si="2"/>
        <v>1772</v>
      </c>
      <c r="G32" s="1" t="str">
        <f>Дума_партии[[#This Row],[Местоположение]]</f>
        <v>Наро-Фоминск</v>
      </c>
      <c r="H32">
        <v>2083</v>
      </c>
      <c r="I32" s="1">
        <f>Дума_одномандатный[[#This Row],[Число избирателей, внесенных в список избирателей на момент окончания голосования]]</f>
        <v>2083</v>
      </c>
      <c r="J32">
        <v>2000</v>
      </c>
      <c r="K32">
        <v>0</v>
      </c>
      <c r="L32">
        <v>1154</v>
      </c>
      <c r="M32">
        <v>250</v>
      </c>
      <c r="N32" s="3">
        <f t="shared" si="0"/>
        <v>67.402784445511287</v>
      </c>
      <c r="O32" s="3">
        <f t="shared" si="1"/>
        <v>12.00192030724916</v>
      </c>
      <c r="P32">
        <v>596</v>
      </c>
      <c r="Q32">
        <v>250</v>
      </c>
      <c r="R32">
        <v>1154</v>
      </c>
      <c r="S32" s="1">
        <f t="shared" si="3"/>
        <v>1404</v>
      </c>
      <c r="T32" s="3">
        <f t="shared" si="4"/>
        <v>17.806267806267805</v>
      </c>
      <c r="U32">
        <v>70</v>
      </c>
      <c r="V32" s="3">
        <f t="shared" si="5"/>
        <v>4.9857549857549861</v>
      </c>
      <c r="W32">
        <v>1334</v>
      </c>
      <c r="X32">
        <v>0</v>
      </c>
      <c r="Y32">
        <v>0</v>
      </c>
      <c r="Z32">
        <v>66</v>
      </c>
      <c r="AA32" s="3">
        <f t="shared" si="12"/>
        <v>4.700854700854701</v>
      </c>
      <c r="AB32">
        <v>78</v>
      </c>
      <c r="AC32" s="3">
        <f t="shared" si="12"/>
        <v>5.5555555555555554</v>
      </c>
      <c r="AD32">
        <v>64</v>
      </c>
      <c r="AE32" s="3">
        <f t="shared" si="13"/>
        <v>4.5584045584045585</v>
      </c>
      <c r="AF32">
        <v>680</v>
      </c>
      <c r="AG32" s="3">
        <f t="shared" si="13"/>
        <v>48.433048433048434</v>
      </c>
      <c r="AH32">
        <v>150</v>
      </c>
      <c r="AI32" s="3">
        <f t="shared" si="14"/>
        <v>10.683760683760683</v>
      </c>
      <c r="AJ32">
        <v>87</v>
      </c>
      <c r="AK32" s="3">
        <f t="shared" si="14"/>
        <v>6.1965811965811968</v>
      </c>
      <c r="AL32">
        <v>29</v>
      </c>
      <c r="AM32" s="3">
        <f t="shared" si="9"/>
        <v>2.0655270655270654</v>
      </c>
      <c r="AN32">
        <v>122</v>
      </c>
      <c r="AO32" s="3">
        <f t="shared" si="15"/>
        <v>8.6894586894586894</v>
      </c>
      <c r="AP32">
        <v>32</v>
      </c>
      <c r="AQ32" s="3">
        <f t="shared" si="15"/>
        <v>2.2792022792022792</v>
      </c>
      <c r="AR32">
        <v>26</v>
      </c>
      <c r="AS32" s="3">
        <f t="shared" si="11"/>
        <v>1.8518518518518519</v>
      </c>
      <c r="AT32" t="s">
        <v>209</v>
      </c>
      <c r="AV32"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343.09090909090901</v>
      </c>
      <c r="AW32" s="13">
        <f>2*(Дума_одномандатный[[#This Row],[Майданов Денис Васильевич]]-(AB$124/100)*Дума_одномандатный[[#This Row],[Число действительных избирательных бюллетеней]])</f>
        <v>452.87999999999988</v>
      </c>
      <c r="AX32" s="13">
        <f>(Дума_одномандатный[[#This Row],[Вброс]]+Дума_одномандатный[[#This Row],[Перекладывание]])/2</f>
        <v>397.98545454545444</v>
      </c>
      <c r="AY32" s="13">
        <f>Дума_партии[[#This Row],[Зона ответственности в сен. 2022 г.]]</f>
        <v>0</v>
      </c>
    </row>
    <row r="33" spans="1:51" x14ac:dyDescent="0.4">
      <c r="A33" t="s">
        <v>49</v>
      </c>
      <c r="B33" t="s">
        <v>50</v>
      </c>
      <c r="C33" t="s">
        <v>51</v>
      </c>
      <c r="D33" t="s">
        <v>102</v>
      </c>
      <c r="E33" t="s">
        <v>134</v>
      </c>
      <c r="F33" s="1">
        <f t="shared" ca="1" si="2"/>
        <v>1773</v>
      </c>
      <c r="G33" s="1" t="str">
        <f>Дума_партии[[#This Row],[Местоположение]]</f>
        <v>Наро-Фоминск</v>
      </c>
      <c r="H33">
        <v>1107</v>
      </c>
      <c r="I33" s="1">
        <f>Дума_одномандатный[[#This Row],[Число избирателей, внесенных в список избирателей на момент окончания голосования]]</f>
        <v>1107</v>
      </c>
      <c r="J33">
        <v>1100</v>
      </c>
      <c r="K33">
        <v>0</v>
      </c>
      <c r="L33">
        <v>457</v>
      </c>
      <c r="M33">
        <v>2</v>
      </c>
      <c r="N33" s="3">
        <f t="shared" si="0"/>
        <v>41.463414634146339</v>
      </c>
      <c r="O33" s="3">
        <f t="shared" si="1"/>
        <v>0.18066847335140018</v>
      </c>
      <c r="P33">
        <v>641</v>
      </c>
      <c r="Q33">
        <v>2</v>
      </c>
      <c r="R33">
        <v>457</v>
      </c>
      <c r="S33" s="1">
        <f t="shared" si="3"/>
        <v>459</v>
      </c>
      <c r="T33" s="3">
        <f t="shared" si="4"/>
        <v>0.4357298474945534</v>
      </c>
      <c r="U33">
        <v>34</v>
      </c>
      <c r="V33" s="3">
        <f t="shared" si="5"/>
        <v>7.4074074074074074</v>
      </c>
      <c r="W33">
        <v>425</v>
      </c>
      <c r="X33">
        <v>0</v>
      </c>
      <c r="Y33">
        <v>0</v>
      </c>
      <c r="Z33">
        <v>9</v>
      </c>
      <c r="AA33" s="3">
        <f t="shared" si="12"/>
        <v>1.9607843137254901</v>
      </c>
      <c r="AB33">
        <v>36</v>
      </c>
      <c r="AC33" s="3">
        <f t="shared" si="12"/>
        <v>7.8431372549019605</v>
      </c>
      <c r="AD33">
        <v>27</v>
      </c>
      <c r="AE33" s="3">
        <f t="shared" si="13"/>
        <v>5.882352941176471</v>
      </c>
      <c r="AF33">
        <v>139</v>
      </c>
      <c r="AG33" s="3">
        <f t="shared" si="13"/>
        <v>30.283224400871461</v>
      </c>
      <c r="AH33">
        <v>55</v>
      </c>
      <c r="AI33" s="3">
        <f t="shared" si="14"/>
        <v>11.982570806100219</v>
      </c>
      <c r="AJ33">
        <v>47</v>
      </c>
      <c r="AK33" s="3">
        <f t="shared" si="14"/>
        <v>10.239651416122005</v>
      </c>
      <c r="AL33">
        <v>7</v>
      </c>
      <c r="AM33" s="3">
        <f t="shared" si="9"/>
        <v>1.5250544662309369</v>
      </c>
      <c r="AN33">
        <v>75</v>
      </c>
      <c r="AO33" s="3">
        <f t="shared" si="15"/>
        <v>16.33986928104575</v>
      </c>
      <c r="AP33">
        <v>19</v>
      </c>
      <c r="AQ33" s="3">
        <f t="shared" si="15"/>
        <v>4.1394335511982572</v>
      </c>
      <c r="AR33">
        <v>11</v>
      </c>
      <c r="AS33" s="3">
        <f t="shared" si="11"/>
        <v>2.3965141612200438</v>
      </c>
      <c r="AT33" t="s">
        <v>209</v>
      </c>
      <c r="AV33"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-8.3333333333333712</v>
      </c>
      <c r="AW33" s="13">
        <f>2*(Дума_одномандатный[[#This Row],[Майданов Денис Васильевич]]-(AB$124/100)*Дума_одномандатный[[#This Row],[Число действительных избирательных бюллетеней]])</f>
        <v>-11</v>
      </c>
      <c r="AX33" s="13">
        <f>(Дума_одномандатный[[#This Row],[Вброс]]+Дума_одномандатный[[#This Row],[Перекладывание]])/2</f>
        <v>-9.6666666666666856</v>
      </c>
      <c r="AY33" s="13">
        <f>Дума_партии[[#This Row],[Зона ответственности в сен. 2022 г.]]</f>
        <v>0</v>
      </c>
    </row>
    <row r="34" spans="1:51" x14ac:dyDescent="0.4">
      <c r="A34" t="s">
        <v>49</v>
      </c>
      <c r="B34" t="s">
        <v>50</v>
      </c>
      <c r="C34" t="s">
        <v>51</v>
      </c>
      <c r="D34" t="s">
        <v>102</v>
      </c>
      <c r="E34" t="s">
        <v>135</v>
      </c>
      <c r="F34" s="1">
        <f t="shared" ca="1" si="2"/>
        <v>1774</v>
      </c>
      <c r="G34" s="1" t="str">
        <f>Дума_партии[[#This Row],[Местоположение]]</f>
        <v>Наро-Фоминск</v>
      </c>
      <c r="H34">
        <v>445</v>
      </c>
      <c r="I34" s="1">
        <f>Дума_одномандатный[[#This Row],[Число избирателей, внесенных в список избирателей на момент окончания голосования]]</f>
        <v>445</v>
      </c>
      <c r="J34">
        <v>400</v>
      </c>
      <c r="K34">
        <v>0</v>
      </c>
      <c r="L34">
        <v>271</v>
      </c>
      <c r="M34">
        <v>4</v>
      </c>
      <c r="N34" s="3">
        <f t="shared" si="0"/>
        <v>61.797752808988761</v>
      </c>
      <c r="O34" s="3">
        <f t="shared" si="1"/>
        <v>0.898876404494382</v>
      </c>
      <c r="P34">
        <v>125</v>
      </c>
      <c r="Q34">
        <v>4</v>
      </c>
      <c r="R34">
        <v>271</v>
      </c>
      <c r="S34" s="1">
        <f t="shared" si="3"/>
        <v>275</v>
      </c>
      <c r="T34" s="3">
        <f t="shared" si="4"/>
        <v>1.4545454545454546</v>
      </c>
      <c r="U34">
        <v>5</v>
      </c>
      <c r="V34" s="3">
        <f t="shared" si="5"/>
        <v>1.8181818181818181</v>
      </c>
      <c r="W34">
        <v>270</v>
      </c>
      <c r="X34">
        <v>0</v>
      </c>
      <c r="Y34">
        <v>0</v>
      </c>
      <c r="Z34">
        <v>7</v>
      </c>
      <c r="AA34" s="3">
        <f t="shared" si="12"/>
        <v>2.5454545454545454</v>
      </c>
      <c r="AB34">
        <v>7</v>
      </c>
      <c r="AC34" s="3">
        <f t="shared" si="12"/>
        <v>2.5454545454545454</v>
      </c>
      <c r="AD34">
        <v>14</v>
      </c>
      <c r="AE34" s="3">
        <f t="shared" si="13"/>
        <v>5.0909090909090908</v>
      </c>
      <c r="AF34">
        <v>166</v>
      </c>
      <c r="AG34" s="3">
        <f t="shared" si="13"/>
        <v>60.363636363636367</v>
      </c>
      <c r="AH34">
        <v>16</v>
      </c>
      <c r="AI34" s="3">
        <f t="shared" si="14"/>
        <v>5.8181818181818183</v>
      </c>
      <c r="AJ34">
        <v>16</v>
      </c>
      <c r="AK34" s="3">
        <f t="shared" si="14"/>
        <v>5.8181818181818183</v>
      </c>
      <c r="AL34">
        <v>7</v>
      </c>
      <c r="AM34" s="3">
        <f t="shared" ref="AM34:AM65" si="16">100*AL34/$S34</f>
        <v>2.5454545454545454</v>
      </c>
      <c r="AN34">
        <v>27</v>
      </c>
      <c r="AO34" s="3">
        <f t="shared" si="15"/>
        <v>9.8181818181818183</v>
      </c>
      <c r="AP34">
        <v>4</v>
      </c>
      <c r="AQ34" s="3">
        <f t="shared" si="15"/>
        <v>1.4545454545454546</v>
      </c>
      <c r="AR34">
        <v>6</v>
      </c>
      <c r="AS34" s="3">
        <f t="shared" si="11"/>
        <v>2.1818181818181817</v>
      </c>
      <c r="AT34" t="s">
        <v>209</v>
      </c>
      <c r="AV34"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112.42424242424241</v>
      </c>
      <c r="AW34" s="13">
        <f>2*(Дума_одномандатный[[#This Row],[Майданов Денис Васильевич]]-(AB$124/100)*Дума_одномандатный[[#This Row],[Число действительных избирательных бюллетеней]])</f>
        <v>148.39999999999998</v>
      </c>
      <c r="AX34" s="13">
        <f>(Дума_одномандатный[[#This Row],[Вброс]]+Дума_одномандатный[[#This Row],[Перекладывание]])/2</f>
        <v>130.41212121212118</v>
      </c>
      <c r="AY34" s="13">
        <f>Дума_партии[[#This Row],[Зона ответственности в сен. 2022 г.]]</f>
        <v>0</v>
      </c>
    </row>
    <row r="35" spans="1:51" x14ac:dyDescent="0.4">
      <c r="A35" t="s">
        <v>49</v>
      </c>
      <c r="B35" t="s">
        <v>50</v>
      </c>
      <c r="C35" t="s">
        <v>51</v>
      </c>
      <c r="D35" t="s">
        <v>102</v>
      </c>
      <c r="E35" t="s">
        <v>136</v>
      </c>
      <c r="F35" s="1">
        <f t="shared" ca="1" si="2"/>
        <v>1775</v>
      </c>
      <c r="G35" s="1" t="str">
        <f>Дума_партии[[#This Row],[Местоположение]]</f>
        <v>Апрелевка</v>
      </c>
      <c r="H35">
        <v>1300</v>
      </c>
      <c r="I35" s="1">
        <f>Дума_одномандатный[[#This Row],[Число избирателей, внесенных в список избирателей на момент окончания голосования]]</f>
        <v>1300</v>
      </c>
      <c r="J35">
        <v>1200</v>
      </c>
      <c r="K35">
        <v>0</v>
      </c>
      <c r="L35">
        <v>569</v>
      </c>
      <c r="M35">
        <v>60</v>
      </c>
      <c r="N35" s="3">
        <f t="shared" si="0"/>
        <v>48.384615384615387</v>
      </c>
      <c r="O35" s="3">
        <f t="shared" si="1"/>
        <v>4.615384615384615</v>
      </c>
      <c r="P35">
        <v>571</v>
      </c>
      <c r="Q35">
        <v>60</v>
      </c>
      <c r="R35">
        <v>569</v>
      </c>
      <c r="S35" s="1">
        <f t="shared" si="3"/>
        <v>629</v>
      </c>
      <c r="T35" s="3">
        <f t="shared" si="4"/>
        <v>9.5389507154213042</v>
      </c>
      <c r="U35">
        <v>26</v>
      </c>
      <c r="V35" s="3">
        <f t="shared" si="5"/>
        <v>4.1335453100158981</v>
      </c>
      <c r="W35">
        <v>603</v>
      </c>
      <c r="X35">
        <v>0</v>
      </c>
      <c r="Y35">
        <v>0</v>
      </c>
      <c r="Z35">
        <v>21</v>
      </c>
      <c r="AA35" s="3">
        <f t="shared" ref="AA35:AC39" si="17">100*Z35/$S35</f>
        <v>3.3386327503974562</v>
      </c>
      <c r="AB35">
        <v>28</v>
      </c>
      <c r="AC35" s="3">
        <f t="shared" si="17"/>
        <v>4.4515103338632747</v>
      </c>
      <c r="AD35">
        <v>28</v>
      </c>
      <c r="AE35" s="3">
        <f t="shared" ref="AE35:AG39" si="18">100*AD35/$S35</f>
        <v>4.4515103338632747</v>
      </c>
      <c r="AF35">
        <v>304</v>
      </c>
      <c r="AG35" s="3">
        <f t="shared" si="18"/>
        <v>48.330683624801274</v>
      </c>
      <c r="AH35">
        <v>48</v>
      </c>
      <c r="AI35" s="3">
        <f t="shared" ref="AI35:AK39" si="19">100*AH35/$S35</f>
        <v>7.631160572337043</v>
      </c>
      <c r="AJ35">
        <v>54</v>
      </c>
      <c r="AK35" s="3">
        <f t="shared" si="19"/>
        <v>8.5850556438791727</v>
      </c>
      <c r="AL35">
        <v>10</v>
      </c>
      <c r="AM35" s="3">
        <f t="shared" si="16"/>
        <v>1.589825119236884</v>
      </c>
      <c r="AN35">
        <v>86</v>
      </c>
      <c r="AO35" s="3">
        <f t="shared" ref="AO35:AQ39" si="20">100*AN35/$S35</f>
        <v>13.672496025437201</v>
      </c>
      <c r="AP35">
        <v>14</v>
      </c>
      <c r="AQ35" s="3">
        <f t="shared" si="20"/>
        <v>2.2257551669316373</v>
      </c>
      <c r="AR35">
        <v>10</v>
      </c>
      <c r="AS35" s="3">
        <f t="shared" si="11"/>
        <v>1.589825119236884</v>
      </c>
      <c r="AT35" t="s">
        <v>209</v>
      </c>
      <c r="AV35"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149.96969696969694</v>
      </c>
      <c r="AW35" s="13">
        <f>2*(Дума_одномандатный[[#This Row],[Майданов Денис Васильевич]]-(AB$124/100)*Дума_одномандатный[[#This Row],[Число действительных избирательных бюллетеней]])</f>
        <v>197.95999999999998</v>
      </c>
      <c r="AX35" s="13">
        <f>(Дума_одномандатный[[#This Row],[Вброс]]+Дума_одномандатный[[#This Row],[Перекладывание]])/2</f>
        <v>173.96484848484846</v>
      </c>
      <c r="AY35" s="13" t="str">
        <f>Дума_партии[[#This Row],[Зона ответственности в сен. 2022 г.]]</f>
        <v>Одинцово КПРФ</v>
      </c>
    </row>
    <row r="36" spans="1:51" x14ac:dyDescent="0.4">
      <c r="A36" t="s">
        <v>49</v>
      </c>
      <c r="B36" t="s">
        <v>50</v>
      </c>
      <c r="C36" t="s">
        <v>51</v>
      </c>
      <c r="D36" t="s">
        <v>102</v>
      </c>
      <c r="E36" t="s">
        <v>137</v>
      </c>
      <c r="F36" s="1">
        <f t="shared" ca="1" si="2"/>
        <v>1776</v>
      </c>
      <c r="G36" s="1" t="str">
        <f>Дума_партии[[#This Row],[Местоположение]]</f>
        <v>Апрелевка</v>
      </c>
      <c r="H36">
        <v>2201</v>
      </c>
      <c r="I36" s="1">
        <f>Дума_одномандатный[[#This Row],[Число избирателей, внесенных в список избирателей на момент окончания голосования]]</f>
        <v>2201</v>
      </c>
      <c r="J36">
        <v>2200</v>
      </c>
      <c r="K36">
        <v>0</v>
      </c>
      <c r="L36">
        <v>554</v>
      </c>
      <c r="M36">
        <v>212</v>
      </c>
      <c r="N36" s="3">
        <f t="shared" si="0"/>
        <v>34.8023625624716</v>
      </c>
      <c r="O36" s="3">
        <f t="shared" si="1"/>
        <v>9.6319854611540201</v>
      </c>
      <c r="P36">
        <v>1434</v>
      </c>
      <c r="Q36">
        <v>212</v>
      </c>
      <c r="R36">
        <v>554</v>
      </c>
      <c r="S36" s="1">
        <f t="shared" si="3"/>
        <v>766</v>
      </c>
      <c r="T36" s="3">
        <f t="shared" si="4"/>
        <v>27.676240208877285</v>
      </c>
      <c r="U36">
        <v>26</v>
      </c>
      <c r="V36" s="3">
        <f t="shared" si="5"/>
        <v>3.3942558746736293</v>
      </c>
      <c r="W36">
        <v>740</v>
      </c>
      <c r="X36">
        <v>0</v>
      </c>
      <c r="Y36">
        <v>0</v>
      </c>
      <c r="Z36">
        <v>30</v>
      </c>
      <c r="AA36" s="3">
        <f t="shared" si="17"/>
        <v>3.9164490861618799</v>
      </c>
      <c r="AB36">
        <v>27</v>
      </c>
      <c r="AC36" s="3">
        <f t="shared" si="17"/>
        <v>3.524804177545692</v>
      </c>
      <c r="AD36">
        <v>54</v>
      </c>
      <c r="AE36" s="3">
        <f t="shared" si="18"/>
        <v>7.0496083550913839</v>
      </c>
      <c r="AF36">
        <v>310</v>
      </c>
      <c r="AG36" s="3">
        <f t="shared" si="18"/>
        <v>40.469973890339425</v>
      </c>
      <c r="AH36">
        <v>58</v>
      </c>
      <c r="AI36" s="3">
        <f t="shared" si="19"/>
        <v>7.5718015665796345</v>
      </c>
      <c r="AJ36">
        <v>62</v>
      </c>
      <c r="AK36" s="3">
        <f t="shared" si="19"/>
        <v>8.0939947780678843</v>
      </c>
      <c r="AL36">
        <v>27</v>
      </c>
      <c r="AM36" s="3">
        <f t="shared" si="16"/>
        <v>3.524804177545692</v>
      </c>
      <c r="AN36">
        <v>133</v>
      </c>
      <c r="AO36" s="3">
        <f t="shared" si="20"/>
        <v>17.362924281984334</v>
      </c>
      <c r="AP36">
        <v>21</v>
      </c>
      <c r="AQ36" s="3">
        <f t="shared" si="20"/>
        <v>2.7415143603133161</v>
      </c>
      <c r="AR36">
        <v>18</v>
      </c>
      <c r="AS36" s="3">
        <f t="shared" si="11"/>
        <v>2.3498694516971281</v>
      </c>
      <c r="AT36" t="s">
        <v>209</v>
      </c>
      <c r="AV36"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88.484848484848442</v>
      </c>
      <c r="AW36" s="13">
        <f>2*(Дума_одномандатный[[#This Row],[Майданов Денис Васильевич]]-(AB$124/100)*Дума_одномандатный[[#This Row],[Число действительных избирательных бюллетеней]])</f>
        <v>116.79999999999995</v>
      </c>
      <c r="AX36" s="13">
        <f>(Дума_одномандатный[[#This Row],[Вброс]]+Дума_одномандатный[[#This Row],[Перекладывание]])/2</f>
        <v>102.6424242424242</v>
      </c>
      <c r="AY36" s="13" t="str">
        <f>Дума_партии[[#This Row],[Зона ответственности в сен. 2022 г.]]</f>
        <v>Одинцово КПРФ</v>
      </c>
    </row>
    <row r="37" spans="1:51" x14ac:dyDescent="0.4">
      <c r="A37" t="s">
        <v>49</v>
      </c>
      <c r="B37" t="s">
        <v>50</v>
      </c>
      <c r="C37" t="s">
        <v>51</v>
      </c>
      <c r="D37" t="s">
        <v>102</v>
      </c>
      <c r="E37" t="s">
        <v>138</v>
      </c>
      <c r="F37" s="1">
        <f t="shared" ca="1" si="2"/>
        <v>1777</v>
      </c>
      <c r="G37" s="1" t="str">
        <f>Дума_партии[[#This Row],[Местоположение]]</f>
        <v>Апрелевка</v>
      </c>
      <c r="H37">
        <v>1049</v>
      </c>
      <c r="I37" s="1">
        <f>Дума_одномандатный[[#This Row],[Число избирателей, внесенных в список избирателей на момент окончания голосования]]</f>
        <v>1049</v>
      </c>
      <c r="J37">
        <v>1000</v>
      </c>
      <c r="K37">
        <v>0</v>
      </c>
      <c r="L37">
        <v>591</v>
      </c>
      <c r="M37">
        <v>95</v>
      </c>
      <c r="N37" s="3">
        <f t="shared" si="0"/>
        <v>65.395614871306009</v>
      </c>
      <c r="O37" s="3">
        <f t="shared" si="1"/>
        <v>9.0562440419447086</v>
      </c>
      <c r="P37">
        <v>314</v>
      </c>
      <c r="Q37">
        <v>95</v>
      </c>
      <c r="R37">
        <v>591</v>
      </c>
      <c r="S37" s="1">
        <f t="shared" si="3"/>
        <v>686</v>
      </c>
      <c r="T37" s="3">
        <f>100*Q37/S37</f>
        <v>13.848396501457726</v>
      </c>
      <c r="U37">
        <v>27</v>
      </c>
      <c r="V37" s="3">
        <f t="shared" si="5"/>
        <v>3.935860058309038</v>
      </c>
      <c r="W37">
        <v>659</v>
      </c>
      <c r="X37">
        <v>0</v>
      </c>
      <c r="Y37">
        <v>0</v>
      </c>
      <c r="Z37">
        <v>19</v>
      </c>
      <c r="AA37" s="3">
        <f t="shared" si="17"/>
        <v>2.7696793002915454</v>
      </c>
      <c r="AB37">
        <v>22</v>
      </c>
      <c r="AC37" s="3">
        <f t="shared" si="17"/>
        <v>3.2069970845481048</v>
      </c>
      <c r="AD37">
        <v>22</v>
      </c>
      <c r="AE37" s="3">
        <f t="shared" si="18"/>
        <v>3.2069970845481048</v>
      </c>
      <c r="AF37">
        <v>406</v>
      </c>
      <c r="AG37" s="3">
        <f t="shared" si="18"/>
        <v>59.183673469387756</v>
      </c>
      <c r="AH37">
        <v>58</v>
      </c>
      <c r="AI37" s="3">
        <f t="shared" si="19"/>
        <v>8.4548104956268215</v>
      </c>
      <c r="AJ37">
        <v>33</v>
      </c>
      <c r="AK37" s="3">
        <f t="shared" si="19"/>
        <v>4.8104956268221573</v>
      </c>
      <c r="AL37">
        <v>13</v>
      </c>
      <c r="AM37" s="3">
        <f t="shared" si="16"/>
        <v>1.8950437317784257</v>
      </c>
      <c r="AN37">
        <v>61</v>
      </c>
      <c r="AO37" s="3">
        <f t="shared" si="20"/>
        <v>8.8921282798833818</v>
      </c>
      <c r="AP37">
        <v>17</v>
      </c>
      <c r="AQ37" s="3">
        <f t="shared" si="20"/>
        <v>2.4781341107871722</v>
      </c>
      <c r="AR37">
        <v>8</v>
      </c>
      <c r="AS37" s="3">
        <f t="shared" si="11"/>
        <v>1.1661807580174928</v>
      </c>
      <c r="AT37" t="s">
        <v>209</v>
      </c>
      <c r="AV37"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275.66666666666663</v>
      </c>
      <c r="AW37" s="13">
        <f>2*(Дума_одномандатный[[#This Row],[Майданов Денис Васильевич]]-(AB$124/100)*Дума_одномандатный[[#This Row],[Число действительных избирательных бюллетеней]])</f>
        <v>363.88</v>
      </c>
      <c r="AX37" s="13">
        <f>(Дума_одномандатный[[#This Row],[Вброс]]+Дума_одномандатный[[#This Row],[Перекладывание]])/2</f>
        <v>319.77333333333331</v>
      </c>
      <c r="AY37" s="13" t="str">
        <f>Дума_партии[[#This Row],[Зона ответственности в сен. 2022 г.]]</f>
        <v>Одинцово КПРФ</v>
      </c>
    </row>
    <row r="38" spans="1:51" x14ac:dyDescent="0.4">
      <c r="A38" t="s">
        <v>49</v>
      </c>
      <c r="B38" t="s">
        <v>50</v>
      </c>
      <c r="C38" t="s">
        <v>51</v>
      </c>
      <c r="D38" t="s">
        <v>102</v>
      </c>
      <c r="E38" t="s">
        <v>139</v>
      </c>
      <c r="F38" s="1">
        <f t="shared" ca="1" si="2"/>
        <v>1778</v>
      </c>
      <c r="G38" s="1" t="str">
        <f>Дума_партии[[#This Row],[Местоположение]]</f>
        <v>Апрелевка</v>
      </c>
      <c r="H38">
        <v>1019</v>
      </c>
      <c r="I38" s="1">
        <f>Дума_одномандатный[[#This Row],[Число избирателей, внесенных в список избирателей на момент окончания голосования]]</f>
        <v>1019</v>
      </c>
      <c r="J38">
        <v>1000</v>
      </c>
      <c r="K38">
        <v>0</v>
      </c>
      <c r="L38">
        <v>590</v>
      </c>
      <c r="M38">
        <v>6</v>
      </c>
      <c r="N38" s="3">
        <f t="shared" si="0"/>
        <v>58.488714425907752</v>
      </c>
      <c r="O38" s="3">
        <f t="shared" si="1"/>
        <v>0.58881256133464177</v>
      </c>
      <c r="P38">
        <v>404</v>
      </c>
      <c r="Q38">
        <v>6</v>
      </c>
      <c r="R38">
        <v>590</v>
      </c>
      <c r="S38" s="1">
        <f t="shared" si="3"/>
        <v>596</v>
      </c>
      <c r="T38" s="3">
        <f t="shared" si="4"/>
        <v>1.0067114093959733</v>
      </c>
      <c r="U38">
        <v>24</v>
      </c>
      <c r="V38" s="3">
        <f t="shared" si="5"/>
        <v>4.026845637583893</v>
      </c>
      <c r="W38">
        <v>572</v>
      </c>
      <c r="X38">
        <v>0</v>
      </c>
      <c r="Y38">
        <v>0</v>
      </c>
      <c r="Z38">
        <v>12</v>
      </c>
      <c r="AA38" s="3">
        <f t="shared" si="17"/>
        <v>2.0134228187919465</v>
      </c>
      <c r="AB38">
        <v>26</v>
      </c>
      <c r="AC38" s="3">
        <f t="shared" si="17"/>
        <v>4.3624161073825505</v>
      </c>
      <c r="AD38">
        <v>27</v>
      </c>
      <c r="AE38" s="3">
        <f t="shared" si="18"/>
        <v>4.5302013422818792</v>
      </c>
      <c r="AF38">
        <v>379</v>
      </c>
      <c r="AG38" s="3">
        <f t="shared" si="18"/>
        <v>63.590604026845639</v>
      </c>
      <c r="AH38">
        <v>19</v>
      </c>
      <c r="AI38" s="3">
        <f t="shared" si="19"/>
        <v>3.1879194630872485</v>
      </c>
      <c r="AJ38">
        <v>25</v>
      </c>
      <c r="AK38" s="3">
        <f t="shared" si="19"/>
        <v>4.1946308724832218</v>
      </c>
      <c r="AL38">
        <v>12</v>
      </c>
      <c r="AM38" s="3">
        <f t="shared" si="16"/>
        <v>2.0134228187919465</v>
      </c>
      <c r="AN38">
        <v>57</v>
      </c>
      <c r="AO38" s="3">
        <f t="shared" si="20"/>
        <v>9.5637583892617446</v>
      </c>
      <c r="AP38">
        <v>10</v>
      </c>
      <c r="AQ38" s="3">
        <f t="shared" si="20"/>
        <v>1.6778523489932886</v>
      </c>
      <c r="AR38">
        <v>5</v>
      </c>
      <c r="AS38" s="3">
        <f t="shared" si="11"/>
        <v>0.83892617449664431</v>
      </c>
      <c r="AT38" t="s">
        <v>209</v>
      </c>
      <c r="AV38"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279.57575757575756</v>
      </c>
      <c r="AW38" s="13">
        <f>2*(Дума_одномандатный[[#This Row],[Майданов Денис Васильевич]]-(AB$124/100)*Дума_одномандатный[[#This Row],[Число действительных избирательных бюллетеней]])</f>
        <v>369.03999999999996</v>
      </c>
      <c r="AX38" s="13">
        <f>(Дума_одномандатный[[#This Row],[Вброс]]+Дума_одномандатный[[#This Row],[Перекладывание]])/2</f>
        <v>324.30787878787874</v>
      </c>
      <c r="AY38" s="13" t="str">
        <f>Дума_партии[[#This Row],[Зона ответственности в сен. 2022 г.]]</f>
        <v>Одинцово КПРФ</v>
      </c>
    </row>
    <row r="39" spans="1:51" x14ac:dyDescent="0.4">
      <c r="A39" t="s">
        <v>49</v>
      </c>
      <c r="B39" t="s">
        <v>50</v>
      </c>
      <c r="C39" t="s">
        <v>51</v>
      </c>
      <c r="D39" t="s">
        <v>102</v>
      </c>
      <c r="E39" t="s">
        <v>140</v>
      </c>
      <c r="F39" s="1">
        <f t="shared" ca="1" si="2"/>
        <v>1779</v>
      </c>
      <c r="G39" s="1" t="str">
        <f>Дума_партии[[#This Row],[Местоположение]]</f>
        <v>Апрелевка</v>
      </c>
      <c r="H39">
        <v>1100</v>
      </c>
      <c r="I39" s="1">
        <f>Дума_одномандатный[[#This Row],[Число избирателей, внесенных в список избирателей на момент окончания голосования]]</f>
        <v>1100</v>
      </c>
      <c r="J39">
        <v>1100</v>
      </c>
      <c r="K39">
        <v>0</v>
      </c>
      <c r="L39">
        <v>590</v>
      </c>
      <c r="M39">
        <v>15</v>
      </c>
      <c r="N39" s="3">
        <f t="shared" si="0"/>
        <v>55</v>
      </c>
      <c r="O39" s="3">
        <f t="shared" si="1"/>
        <v>1.3636363636363635</v>
      </c>
      <c r="P39">
        <v>495</v>
      </c>
      <c r="Q39">
        <v>15</v>
      </c>
      <c r="R39">
        <v>590</v>
      </c>
      <c r="S39" s="1">
        <f t="shared" si="3"/>
        <v>605</v>
      </c>
      <c r="T39" s="3">
        <f t="shared" si="4"/>
        <v>2.4793388429752068</v>
      </c>
      <c r="U39">
        <v>32</v>
      </c>
      <c r="V39" s="3">
        <f t="shared" si="5"/>
        <v>5.2892561983471076</v>
      </c>
      <c r="W39">
        <v>573</v>
      </c>
      <c r="X39">
        <v>0</v>
      </c>
      <c r="Y39">
        <v>0</v>
      </c>
      <c r="Z39">
        <v>12</v>
      </c>
      <c r="AA39" s="3">
        <f t="shared" si="17"/>
        <v>1.9834710743801653</v>
      </c>
      <c r="AB39">
        <v>15</v>
      </c>
      <c r="AC39" s="3">
        <f t="shared" si="17"/>
        <v>2.4793388429752068</v>
      </c>
      <c r="AD39">
        <v>20</v>
      </c>
      <c r="AE39" s="3">
        <f t="shared" si="18"/>
        <v>3.3057851239669422</v>
      </c>
      <c r="AF39">
        <v>378</v>
      </c>
      <c r="AG39" s="3">
        <f t="shared" si="18"/>
        <v>62.47933884297521</v>
      </c>
      <c r="AH39">
        <v>31</v>
      </c>
      <c r="AI39" s="3">
        <f t="shared" si="19"/>
        <v>5.1239669421487601</v>
      </c>
      <c r="AJ39">
        <v>27</v>
      </c>
      <c r="AK39" s="3">
        <f t="shared" si="19"/>
        <v>4.4628099173553721</v>
      </c>
      <c r="AL39">
        <v>3</v>
      </c>
      <c r="AM39" s="3">
        <f t="shared" si="16"/>
        <v>0.49586776859504134</v>
      </c>
      <c r="AN39">
        <v>64</v>
      </c>
      <c r="AO39" s="3">
        <f t="shared" si="20"/>
        <v>10.578512396694215</v>
      </c>
      <c r="AP39">
        <v>16</v>
      </c>
      <c r="AQ39" s="3">
        <f t="shared" si="20"/>
        <v>2.6446280991735538</v>
      </c>
      <c r="AR39">
        <v>7</v>
      </c>
      <c r="AS39" s="3">
        <f t="shared" si="11"/>
        <v>1.1570247933884297</v>
      </c>
      <c r="AT39" t="s">
        <v>209</v>
      </c>
      <c r="AV39"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277.5454545454545</v>
      </c>
      <c r="AW39" s="13">
        <f>2*(Дума_одномандатный[[#This Row],[Майданов Денис Васильевич]]-(AB$124/100)*Дума_одномандатный[[#This Row],[Число действительных избирательных бюллетеней]])</f>
        <v>366.35999999999996</v>
      </c>
      <c r="AX39" s="13">
        <f>(Дума_одномандатный[[#This Row],[Вброс]]+Дума_одномандатный[[#This Row],[Перекладывание]])/2</f>
        <v>321.9527272727272</v>
      </c>
      <c r="AY39" s="13" t="str">
        <f>Дума_партии[[#This Row],[Зона ответственности в сен. 2022 г.]]</f>
        <v>Одинцово КПРФ</v>
      </c>
    </row>
    <row r="40" spans="1:51" x14ac:dyDescent="0.4">
      <c r="A40" t="s">
        <v>49</v>
      </c>
      <c r="B40" t="s">
        <v>50</v>
      </c>
      <c r="C40" t="s">
        <v>51</v>
      </c>
      <c r="D40" t="s">
        <v>102</v>
      </c>
      <c r="E40" t="s">
        <v>141</v>
      </c>
      <c r="F40" s="1">
        <f t="shared" ref="F40:F71" ca="1" si="21">SUMPRODUCT(MID(0&amp;E40, LARGE(INDEX(ISNUMBER(--MID(E40, ROW(INDIRECT("1:"&amp;LEN(E40))), 1)) * ROW(INDIRECT("1:"&amp;LEN(E40))), 0), ROW(INDIRECT("1:"&amp;LEN(E40))))+1, 1) * 10^ROW(INDIRECT("1:"&amp;LEN(E40)))/10)</f>
        <v>1780</v>
      </c>
      <c r="G40" s="1" t="str">
        <f>Дума_партии[[#This Row],[Местоположение]]</f>
        <v>Апрелевка</v>
      </c>
      <c r="H40">
        <v>970</v>
      </c>
      <c r="I40" s="10">
        <f>Дума_одномандатный[[#This Row],[Число избирателей, внесенных в список избирателей на момент окончания голосования]]</f>
        <v>970</v>
      </c>
      <c r="J40">
        <v>900</v>
      </c>
      <c r="K40">
        <v>0</v>
      </c>
      <c r="L40">
        <v>752</v>
      </c>
      <c r="M40">
        <v>1</v>
      </c>
      <c r="N40" s="3">
        <f t="shared" ref="N40:N71" si="22">100*(L40+M40)/H40</f>
        <v>77.628865979381445</v>
      </c>
      <c r="O40" s="3">
        <f t="shared" ref="O40:O71" si="23">100*M40/H40</f>
        <v>0.10309278350515463</v>
      </c>
      <c r="P40">
        <v>147</v>
      </c>
      <c r="Q40">
        <v>1</v>
      </c>
      <c r="R40">
        <v>748</v>
      </c>
      <c r="S40" s="1">
        <f t="shared" ref="S40:S71" si="24">Q40+R40</f>
        <v>749</v>
      </c>
      <c r="T40" s="3">
        <f t="shared" ref="T40:T71" si="25">100*Q40/S40</f>
        <v>0.13351134846461948</v>
      </c>
      <c r="U40">
        <v>167</v>
      </c>
      <c r="V40" s="3">
        <f t="shared" ref="V40:V71" si="26">100*U40/S40</f>
        <v>22.296395193591454</v>
      </c>
      <c r="W40">
        <v>582</v>
      </c>
      <c r="X40">
        <v>0</v>
      </c>
      <c r="Y40">
        <v>0</v>
      </c>
      <c r="Z40">
        <v>8</v>
      </c>
      <c r="AA40" s="3">
        <f t="shared" ref="AA40:AA71" si="27">100*Z40/$S40</f>
        <v>1.0680907877169559</v>
      </c>
      <c r="AB40">
        <v>15</v>
      </c>
      <c r="AC40" s="3">
        <f t="shared" ref="AC40:AC71" si="28">100*AB40/$S40</f>
        <v>2.0026702269692924</v>
      </c>
      <c r="AD40">
        <v>24</v>
      </c>
      <c r="AE40" s="3">
        <f t="shared" ref="AE40:AE71" si="29">100*AD40/$S40</f>
        <v>3.2042723631508676</v>
      </c>
      <c r="AF40">
        <v>391</v>
      </c>
      <c r="AG40" s="3">
        <f t="shared" ref="AG40:AG71" si="30">100*AF40/$S40</f>
        <v>52.202937249666221</v>
      </c>
      <c r="AH40">
        <v>31</v>
      </c>
      <c r="AI40" s="3">
        <f t="shared" ref="AI40:AI71" si="31">100*AH40/$S40</f>
        <v>4.1388518024032042</v>
      </c>
      <c r="AJ40">
        <v>28</v>
      </c>
      <c r="AK40" s="3">
        <f t="shared" ref="AK40:AK71" si="32">100*AJ40/$S40</f>
        <v>3.7383177570093458</v>
      </c>
      <c r="AL40">
        <v>4</v>
      </c>
      <c r="AM40" s="3">
        <f t="shared" si="16"/>
        <v>0.53404539385847793</v>
      </c>
      <c r="AN40">
        <v>52</v>
      </c>
      <c r="AO40" s="3">
        <f t="shared" ref="AO40:AO71" si="33">100*AN40/$S40</f>
        <v>6.9425901201602134</v>
      </c>
      <c r="AP40">
        <v>21</v>
      </c>
      <c r="AQ40" s="3">
        <f t="shared" ref="AQ40:AQ71" si="34">100*AP40/$S40</f>
        <v>2.8037383177570092</v>
      </c>
      <c r="AR40">
        <v>8</v>
      </c>
      <c r="AS40" s="3">
        <f t="shared" ref="AS40:AS71" si="35">100*AR40/$S40</f>
        <v>1.0680907877169559</v>
      </c>
      <c r="AT40" t="s">
        <v>209</v>
      </c>
      <c r="AV40"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292.60606060606057</v>
      </c>
      <c r="AW40" s="13">
        <f>2*(Дума_одномандатный[[#This Row],[Майданов Денис Васильевич]]-(AB$124/100)*Дума_одномандатный[[#This Row],[Число действительных избирательных бюллетеней]])</f>
        <v>386.23999999999995</v>
      </c>
      <c r="AX40" s="13">
        <f>(Дума_одномандатный[[#This Row],[Вброс]]+Дума_одномандатный[[#This Row],[Перекладывание]])/2</f>
        <v>339.42303030303026</v>
      </c>
      <c r="AY40" s="13" t="str">
        <f>Дума_партии[[#This Row],[Зона ответственности в сен. 2022 г.]]</f>
        <v>Одинцово КПРФ</v>
      </c>
    </row>
    <row r="41" spans="1:51" x14ac:dyDescent="0.4">
      <c r="A41" t="s">
        <v>49</v>
      </c>
      <c r="B41" t="s">
        <v>50</v>
      </c>
      <c r="C41" t="s">
        <v>51</v>
      </c>
      <c r="D41" t="s">
        <v>102</v>
      </c>
      <c r="E41" t="s">
        <v>142</v>
      </c>
      <c r="F41" s="1">
        <f t="shared" ca="1" si="21"/>
        <v>1781</v>
      </c>
      <c r="G41" s="1" t="str">
        <f>Дума_партии[[#This Row],[Местоположение]]</f>
        <v>Апрелевка</v>
      </c>
      <c r="H41">
        <v>1456</v>
      </c>
      <c r="I41" s="10">
        <f>Дума_одномандатный[[#This Row],[Число избирателей, внесенных в список избирателей на момент окончания голосования]]</f>
        <v>1456</v>
      </c>
      <c r="J41">
        <v>1400</v>
      </c>
      <c r="K41">
        <v>0</v>
      </c>
      <c r="L41">
        <v>458</v>
      </c>
      <c r="M41">
        <v>33</v>
      </c>
      <c r="N41" s="3">
        <f t="shared" si="22"/>
        <v>33.722527472527474</v>
      </c>
      <c r="O41" s="3">
        <f t="shared" si="23"/>
        <v>2.2664835164835164</v>
      </c>
      <c r="P41">
        <v>909</v>
      </c>
      <c r="Q41">
        <v>33</v>
      </c>
      <c r="R41">
        <v>458</v>
      </c>
      <c r="S41" s="1">
        <f t="shared" si="24"/>
        <v>491</v>
      </c>
      <c r="T41" s="3">
        <f t="shared" si="25"/>
        <v>6.7209775967413439</v>
      </c>
      <c r="U41">
        <v>8</v>
      </c>
      <c r="V41" s="3">
        <f t="shared" si="26"/>
        <v>1.629327902240326</v>
      </c>
      <c r="W41">
        <v>483</v>
      </c>
      <c r="X41">
        <v>0</v>
      </c>
      <c r="Y41">
        <v>0</v>
      </c>
      <c r="Z41">
        <v>16</v>
      </c>
      <c r="AA41" s="3">
        <f t="shared" si="27"/>
        <v>3.258655804480652</v>
      </c>
      <c r="AB41">
        <v>16</v>
      </c>
      <c r="AC41" s="3">
        <f t="shared" si="28"/>
        <v>3.258655804480652</v>
      </c>
      <c r="AD41">
        <v>26</v>
      </c>
      <c r="AE41" s="3">
        <f t="shared" si="29"/>
        <v>5.2953156822810588</v>
      </c>
      <c r="AF41">
        <v>263</v>
      </c>
      <c r="AG41" s="3">
        <f t="shared" si="30"/>
        <v>53.564154786150716</v>
      </c>
      <c r="AH41">
        <v>35</v>
      </c>
      <c r="AI41" s="3">
        <f t="shared" si="31"/>
        <v>7.1283095723014256</v>
      </c>
      <c r="AJ41">
        <v>19</v>
      </c>
      <c r="AK41" s="3">
        <f t="shared" si="32"/>
        <v>3.8696537678207741</v>
      </c>
      <c r="AL41">
        <v>2</v>
      </c>
      <c r="AM41" s="3">
        <f t="shared" si="16"/>
        <v>0.40733197556008149</v>
      </c>
      <c r="AN41">
        <v>82</v>
      </c>
      <c r="AO41" s="3">
        <f t="shared" si="33"/>
        <v>16.700610997963341</v>
      </c>
      <c r="AP41">
        <v>15</v>
      </c>
      <c r="AQ41" s="3">
        <f t="shared" si="34"/>
        <v>3.0549898167006111</v>
      </c>
      <c r="AR41">
        <v>9</v>
      </c>
      <c r="AS41" s="3">
        <f t="shared" si="35"/>
        <v>1.8329938900203666</v>
      </c>
      <c r="AT41" t="s">
        <v>209</v>
      </c>
      <c r="AV41"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149.66666666666663</v>
      </c>
      <c r="AW41" s="13">
        <f>2*(Дума_одномандатный[[#This Row],[Майданов Денис Васильевич]]-(AB$124/100)*Дума_одномандатный[[#This Row],[Число действительных избирательных бюллетеней]])</f>
        <v>197.56</v>
      </c>
      <c r="AX41" s="13">
        <f>(Дума_одномандатный[[#This Row],[Вброс]]+Дума_одномандатный[[#This Row],[Перекладывание]])/2</f>
        <v>173.61333333333332</v>
      </c>
      <c r="AY41" s="13" t="str">
        <f>Дума_партии[[#This Row],[Зона ответственности в сен. 2022 г.]]</f>
        <v>Одинцово КПРФ</v>
      </c>
    </row>
    <row r="42" spans="1:51" x14ac:dyDescent="0.4">
      <c r="A42" t="s">
        <v>49</v>
      </c>
      <c r="B42" t="s">
        <v>50</v>
      </c>
      <c r="C42" t="s">
        <v>51</v>
      </c>
      <c r="D42" t="s">
        <v>102</v>
      </c>
      <c r="E42" t="s">
        <v>143</v>
      </c>
      <c r="F42" s="1">
        <f t="shared" ca="1" si="21"/>
        <v>1782</v>
      </c>
      <c r="G42" s="1" t="str">
        <f>Дума_партии[[#This Row],[Местоположение]]</f>
        <v>Апрелевка</v>
      </c>
      <c r="H42">
        <v>2016</v>
      </c>
      <c r="I42" s="10">
        <f>Дума_одномандатный[[#This Row],[Число избирателей, внесенных в список избирателей на момент окончания голосования]]</f>
        <v>2016</v>
      </c>
      <c r="J42">
        <v>1900</v>
      </c>
      <c r="K42">
        <v>0</v>
      </c>
      <c r="L42">
        <v>884</v>
      </c>
      <c r="M42">
        <v>12</v>
      </c>
      <c r="N42" s="3">
        <f t="shared" si="22"/>
        <v>44.444444444444443</v>
      </c>
      <c r="O42" s="3">
        <f t="shared" si="23"/>
        <v>0.59523809523809523</v>
      </c>
      <c r="P42">
        <v>1004</v>
      </c>
      <c r="Q42">
        <v>12</v>
      </c>
      <c r="R42">
        <v>884</v>
      </c>
      <c r="S42" s="1">
        <f t="shared" si="24"/>
        <v>896</v>
      </c>
      <c r="T42" s="3">
        <f t="shared" si="25"/>
        <v>1.3392857142857142</v>
      </c>
      <c r="U42">
        <v>23</v>
      </c>
      <c r="V42" s="3">
        <f t="shared" si="26"/>
        <v>2.5669642857142856</v>
      </c>
      <c r="W42">
        <v>873</v>
      </c>
      <c r="X42">
        <v>0</v>
      </c>
      <c r="Y42">
        <v>0</v>
      </c>
      <c r="Z42">
        <v>35</v>
      </c>
      <c r="AA42" s="3">
        <f t="shared" si="27"/>
        <v>3.90625</v>
      </c>
      <c r="AB42">
        <v>46</v>
      </c>
      <c r="AC42" s="3">
        <f t="shared" si="28"/>
        <v>5.1339285714285712</v>
      </c>
      <c r="AD42">
        <v>39</v>
      </c>
      <c r="AE42" s="3">
        <f t="shared" si="29"/>
        <v>4.3526785714285712</v>
      </c>
      <c r="AF42">
        <v>439</v>
      </c>
      <c r="AG42" s="3">
        <f t="shared" si="30"/>
        <v>48.995535714285715</v>
      </c>
      <c r="AH42">
        <v>50</v>
      </c>
      <c r="AI42" s="3">
        <f t="shared" si="31"/>
        <v>5.5803571428571432</v>
      </c>
      <c r="AJ42">
        <v>50</v>
      </c>
      <c r="AK42" s="3">
        <f t="shared" si="32"/>
        <v>5.5803571428571432</v>
      </c>
      <c r="AL42">
        <v>32</v>
      </c>
      <c r="AM42" s="3">
        <f t="shared" si="16"/>
        <v>3.5714285714285716</v>
      </c>
      <c r="AN42">
        <v>139</v>
      </c>
      <c r="AO42" s="3">
        <f t="shared" si="33"/>
        <v>15.513392857142858</v>
      </c>
      <c r="AP42">
        <v>26</v>
      </c>
      <c r="AQ42" s="3">
        <f t="shared" si="34"/>
        <v>2.9017857142857144</v>
      </c>
      <c r="AR42">
        <v>17</v>
      </c>
      <c r="AS42" s="3">
        <f t="shared" si="35"/>
        <v>1.8973214285714286</v>
      </c>
      <c r="AT42" t="s">
        <v>209</v>
      </c>
      <c r="AV42"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215.42424242424238</v>
      </c>
      <c r="AW42" s="13">
        <f>2*(Дума_одномандатный[[#This Row],[Майданов Денис Васильевич]]-(AB$124/100)*Дума_одномандатный[[#This Row],[Число действительных избирательных бюллетеней]])</f>
        <v>284.36</v>
      </c>
      <c r="AX42" s="13">
        <f>(Дума_одномандатный[[#This Row],[Вброс]]+Дума_одномандатный[[#This Row],[Перекладывание]])/2</f>
        <v>249.8921212121212</v>
      </c>
      <c r="AY42" s="13" t="str">
        <f>Дума_партии[[#This Row],[Зона ответственности в сен. 2022 г.]]</f>
        <v>Одинцово КПРФ</v>
      </c>
    </row>
    <row r="43" spans="1:51" x14ac:dyDescent="0.4">
      <c r="A43" t="s">
        <v>49</v>
      </c>
      <c r="B43" t="s">
        <v>50</v>
      </c>
      <c r="C43" t="s">
        <v>51</v>
      </c>
      <c r="D43" t="s">
        <v>102</v>
      </c>
      <c r="E43" t="s">
        <v>144</v>
      </c>
      <c r="F43" s="1">
        <f t="shared" ca="1" si="21"/>
        <v>1783</v>
      </c>
      <c r="G43" s="1" t="str">
        <f>Дума_партии[[#This Row],[Местоположение]]</f>
        <v>Апрелевка</v>
      </c>
      <c r="H43">
        <v>1039</v>
      </c>
      <c r="I43" s="10">
        <f>Дума_одномандатный[[#This Row],[Число избирателей, внесенных в список избирателей на момент окончания голосования]]</f>
        <v>1039</v>
      </c>
      <c r="J43">
        <v>1000</v>
      </c>
      <c r="K43">
        <v>0</v>
      </c>
      <c r="L43">
        <v>335</v>
      </c>
      <c r="M43">
        <v>7</v>
      </c>
      <c r="N43" s="3">
        <f t="shared" si="22"/>
        <v>32.916265640038496</v>
      </c>
      <c r="O43" s="3">
        <f t="shared" si="23"/>
        <v>0.67372473532242538</v>
      </c>
      <c r="P43">
        <v>658</v>
      </c>
      <c r="Q43">
        <v>7</v>
      </c>
      <c r="R43">
        <v>335</v>
      </c>
      <c r="S43" s="1">
        <f t="shared" si="24"/>
        <v>342</v>
      </c>
      <c r="T43" s="3">
        <f t="shared" si="25"/>
        <v>2.0467836257309941</v>
      </c>
      <c r="U43">
        <v>29</v>
      </c>
      <c r="V43" s="3">
        <f t="shared" si="26"/>
        <v>8.4795321637426895</v>
      </c>
      <c r="W43">
        <v>313</v>
      </c>
      <c r="X43">
        <v>0</v>
      </c>
      <c r="Y43">
        <v>0</v>
      </c>
      <c r="Z43">
        <v>10</v>
      </c>
      <c r="AA43" s="3">
        <f t="shared" si="27"/>
        <v>2.9239766081871346</v>
      </c>
      <c r="AB43">
        <v>12</v>
      </c>
      <c r="AC43" s="3">
        <f t="shared" si="28"/>
        <v>3.5087719298245612</v>
      </c>
      <c r="AD43">
        <v>32</v>
      </c>
      <c r="AE43" s="3">
        <f t="shared" si="29"/>
        <v>9.3567251461988299</v>
      </c>
      <c r="AF43">
        <v>114</v>
      </c>
      <c r="AG43" s="3">
        <f t="shared" si="30"/>
        <v>33.333333333333336</v>
      </c>
      <c r="AH43">
        <v>27</v>
      </c>
      <c r="AI43" s="3">
        <f t="shared" si="31"/>
        <v>7.8947368421052628</v>
      </c>
      <c r="AJ43">
        <v>25</v>
      </c>
      <c r="AK43" s="3">
        <f t="shared" si="32"/>
        <v>7.3099415204678362</v>
      </c>
      <c r="AL43">
        <v>9</v>
      </c>
      <c r="AM43" s="3">
        <f t="shared" si="16"/>
        <v>2.6315789473684212</v>
      </c>
      <c r="AN43">
        <v>63</v>
      </c>
      <c r="AO43" s="3">
        <f t="shared" si="33"/>
        <v>18.421052631578949</v>
      </c>
      <c r="AP43">
        <v>11</v>
      </c>
      <c r="AQ43" s="3">
        <f t="shared" si="34"/>
        <v>3.2163742690058479</v>
      </c>
      <c r="AR43">
        <v>10</v>
      </c>
      <c r="AS43" s="3">
        <f t="shared" si="35"/>
        <v>2.9239766081871346</v>
      </c>
      <c r="AT43" t="s">
        <v>209</v>
      </c>
      <c r="AV43"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11.48484848484847</v>
      </c>
      <c r="AW43" s="13">
        <f>2*(Дума_одномандатный[[#This Row],[Майданов Денис Васильевич]]-(AB$124/100)*Дума_одномандатный[[#This Row],[Число действительных избирательных бюллетеней]])</f>
        <v>15.159999999999997</v>
      </c>
      <c r="AX43" s="13">
        <f>(Дума_одномандатный[[#This Row],[Вброс]]+Дума_одномандатный[[#This Row],[Перекладывание]])/2</f>
        <v>13.322424242424233</v>
      </c>
      <c r="AY43" s="13" t="str">
        <f>Дума_партии[[#This Row],[Зона ответственности в сен. 2022 г.]]</f>
        <v>Одинцово КПРФ</v>
      </c>
    </row>
    <row r="44" spans="1:51" x14ac:dyDescent="0.4">
      <c r="A44" t="s">
        <v>49</v>
      </c>
      <c r="B44" t="s">
        <v>50</v>
      </c>
      <c r="C44" t="s">
        <v>51</v>
      </c>
      <c r="D44" t="s">
        <v>102</v>
      </c>
      <c r="E44" t="s">
        <v>145</v>
      </c>
      <c r="F44" s="1">
        <f t="shared" ca="1" si="21"/>
        <v>1784</v>
      </c>
      <c r="G44" s="1" t="str">
        <f>Дума_партии[[#This Row],[Местоположение]]</f>
        <v>Апрелевка</v>
      </c>
      <c r="H44">
        <v>1131</v>
      </c>
      <c r="I44" s="10">
        <f>Дума_одномандатный[[#This Row],[Число избирателей, внесенных в список избирателей на момент окончания голосования]]</f>
        <v>1131</v>
      </c>
      <c r="J44">
        <v>1100</v>
      </c>
      <c r="K44">
        <v>0</v>
      </c>
      <c r="L44">
        <v>644</v>
      </c>
      <c r="M44">
        <v>18</v>
      </c>
      <c r="N44" s="3">
        <f t="shared" si="22"/>
        <v>58.532272325375772</v>
      </c>
      <c r="O44" s="3">
        <f t="shared" si="23"/>
        <v>1.5915119363395225</v>
      </c>
      <c r="P44">
        <v>438</v>
      </c>
      <c r="Q44">
        <v>18</v>
      </c>
      <c r="R44">
        <v>644</v>
      </c>
      <c r="S44" s="1">
        <f t="shared" si="24"/>
        <v>662</v>
      </c>
      <c r="T44" s="3">
        <f t="shared" si="25"/>
        <v>2.7190332326283988</v>
      </c>
      <c r="U44">
        <v>28</v>
      </c>
      <c r="V44" s="3">
        <f t="shared" si="26"/>
        <v>4.2296072507552873</v>
      </c>
      <c r="W44">
        <v>634</v>
      </c>
      <c r="X44">
        <v>0</v>
      </c>
      <c r="Y44">
        <v>0</v>
      </c>
      <c r="Z44">
        <v>18</v>
      </c>
      <c r="AA44" s="3">
        <f t="shared" si="27"/>
        <v>2.7190332326283988</v>
      </c>
      <c r="AB44">
        <v>13</v>
      </c>
      <c r="AC44" s="3">
        <f t="shared" si="28"/>
        <v>1.9637462235649548</v>
      </c>
      <c r="AD44">
        <v>22</v>
      </c>
      <c r="AE44" s="3">
        <f t="shared" si="29"/>
        <v>3.3232628398791539</v>
      </c>
      <c r="AF44">
        <v>365</v>
      </c>
      <c r="AG44" s="3">
        <f t="shared" si="30"/>
        <v>55.135951661631417</v>
      </c>
      <c r="AH44">
        <v>50</v>
      </c>
      <c r="AI44" s="3">
        <f t="shared" si="31"/>
        <v>7.5528700906344408</v>
      </c>
      <c r="AJ44">
        <v>54</v>
      </c>
      <c r="AK44" s="3">
        <f t="shared" si="32"/>
        <v>8.1570996978851955</v>
      </c>
      <c r="AL44">
        <v>10</v>
      </c>
      <c r="AM44" s="3">
        <f t="shared" si="16"/>
        <v>1.5105740181268883</v>
      </c>
      <c r="AN44">
        <v>85</v>
      </c>
      <c r="AO44" s="3">
        <f t="shared" si="33"/>
        <v>12.839879154078551</v>
      </c>
      <c r="AP44">
        <v>10</v>
      </c>
      <c r="AQ44" s="3">
        <f t="shared" si="34"/>
        <v>1.5105740181268883</v>
      </c>
      <c r="AR44">
        <v>7</v>
      </c>
      <c r="AS44" s="3">
        <f t="shared" si="35"/>
        <v>1.0574018126888218</v>
      </c>
      <c r="AT44" t="s">
        <v>209</v>
      </c>
      <c r="AV44"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226.42424242424241</v>
      </c>
      <c r="AW44" s="13">
        <f>2*(Дума_одномандатный[[#This Row],[Майданов Денис Васильевич]]-(AB$124/100)*Дума_одномандатный[[#This Row],[Число действительных избирательных бюллетеней]])</f>
        <v>298.88</v>
      </c>
      <c r="AX44" s="13">
        <f>(Дума_одномандатный[[#This Row],[Вброс]]+Дума_одномандатный[[#This Row],[Перекладывание]])/2</f>
        <v>262.65212121212119</v>
      </c>
      <c r="AY44" s="13" t="str">
        <f>Дума_партии[[#This Row],[Зона ответственности в сен. 2022 г.]]</f>
        <v>Одинцово КПРФ</v>
      </c>
    </row>
    <row r="45" spans="1:51" x14ac:dyDescent="0.4">
      <c r="A45" t="s">
        <v>49</v>
      </c>
      <c r="B45" t="s">
        <v>50</v>
      </c>
      <c r="C45" t="s">
        <v>51</v>
      </c>
      <c r="D45" t="s">
        <v>102</v>
      </c>
      <c r="E45" t="s">
        <v>146</v>
      </c>
      <c r="F45" s="1">
        <f t="shared" ca="1" si="21"/>
        <v>1785</v>
      </c>
      <c r="G45" s="1" t="str">
        <f>Дума_партии[[#This Row],[Местоположение]]</f>
        <v>Апрелевка</v>
      </c>
      <c r="H45">
        <v>1737</v>
      </c>
      <c r="I45" s="10">
        <f>Дума_одномандатный[[#This Row],[Число избирателей, внесенных в список избирателей на момент окончания голосования]]</f>
        <v>1737</v>
      </c>
      <c r="J45">
        <v>1700</v>
      </c>
      <c r="K45">
        <v>0</v>
      </c>
      <c r="L45">
        <v>661</v>
      </c>
      <c r="M45">
        <v>10</v>
      </c>
      <c r="N45" s="3">
        <f t="shared" si="22"/>
        <v>38.629821531375939</v>
      </c>
      <c r="O45" s="3">
        <f t="shared" si="23"/>
        <v>0.57570523891767411</v>
      </c>
      <c r="P45">
        <v>1029</v>
      </c>
      <c r="Q45">
        <v>10</v>
      </c>
      <c r="R45">
        <v>661</v>
      </c>
      <c r="S45" s="1">
        <f t="shared" si="24"/>
        <v>671</v>
      </c>
      <c r="T45" s="3">
        <f t="shared" si="25"/>
        <v>1.4903129657228018</v>
      </c>
      <c r="U45">
        <v>34</v>
      </c>
      <c r="V45" s="3">
        <f t="shared" si="26"/>
        <v>5.0670640834575265</v>
      </c>
      <c r="W45">
        <v>637</v>
      </c>
      <c r="X45">
        <v>0</v>
      </c>
      <c r="Y45">
        <v>0</v>
      </c>
      <c r="Z45">
        <v>19</v>
      </c>
      <c r="AA45" s="3">
        <f t="shared" si="27"/>
        <v>2.8315946348733232</v>
      </c>
      <c r="AB45">
        <v>23</v>
      </c>
      <c r="AC45" s="3">
        <f t="shared" si="28"/>
        <v>3.427719821162444</v>
      </c>
      <c r="AD45">
        <v>41</v>
      </c>
      <c r="AE45" s="3">
        <f t="shared" si="29"/>
        <v>6.1102831594634877</v>
      </c>
      <c r="AF45">
        <v>342</v>
      </c>
      <c r="AG45" s="3">
        <f t="shared" si="30"/>
        <v>50.968703427719824</v>
      </c>
      <c r="AH45">
        <v>42</v>
      </c>
      <c r="AI45" s="3">
        <f t="shared" si="31"/>
        <v>6.2593144560357672</v>
      </c>
      <c r="AJ45">
        <v>45</v>
      </c>
      <c r="AK45" s="3">
        <f t="shared" si="32"/>
        <v>6.7064083457526085</v>
      </c>
      <c r="AL45">
        <v>9</v>
      </c>
      <c r="AM45" s="3">
        <f t="shared" si="16"/>
        <v>1.3412816691505216</v>
      </c>
      <c r="AN45">
        <v>90</v>
      </c>
      <c r="AO45" s="3">
        <f t="shared" si="33"/>
        <v>13.412816691505217</v>
      </c>
      <c r="AP45">
        <v>17</v>
      </c>
      <c r="AQ45" s="3">
        <f t="shared" si="34"/>
        <v>2.5335320417287632</v>
      </c>
      <c r="AR45">
        <v>9</v>
      </c>
      <c r="AS45" s="3">
        <f t="shared" si="35"/>
        <v>1.3412816691505216</v>
      </c>
      <c r="AT45" t="s">
        <v>209</v>
      </c>
      <c r="AV45"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190.030303030303</v>
      </c>
      <c r="AW45" s="13">
        <f>2*(Дума_одномандатный[[#This Row],[Майданов Денис Васильевич]]-(AB$124/100)*Дума_одномандатный[[#This Row],[Число действительных избирательных бюллетеней]])</f>
        <v>250.83999999999997</v>
      </c>
      <c r="AX45" s="13">
        <f>(Дума_одномандатный[[#This Row],[Вброс]]+Дума_одномандатный[[#This Row],[Перекладывание]])/2</f>
        <v>220.43515151515149</v>
      </c>
      <c r="AY45" s="13" t="str">
        <f>Дума_партии[[#This Row],[Зона ответственности в сен. 2022 г.]]</f>
        <v>Одинцово КПРФ</v>
      </c>
    </row>
    <row r="46" spans="1:51" x14ac:dyDescent="0.4">
      <c r="A46" t="s">
        <v>49</v>
      </c>
      <c r="B46" t="s">
        <v>50</v>
      </c>
      <c r="C46" t="s">
        <v>51</v>
      </c>
      <c r="D46" t="s">
        <v>102</v>
      </c>
      <c r="E46" t="s">
        <v>147</v>
      </c>
      <c r="F46" s="1">
        <f t="shared" ca="1" si="21"/>
        <v>1786</v>
      </c>
      <c r="G46" s="1" t="str">
        <f>Дума_партии[[#This Row],[Местоположение]]</f>
        <v>Апрелевка</v>
      </c>
      <c r="H46">
        <v>1149</v>
      </c>
      <c r="I46" s="10">
        <f>Дума_одномандатный[[#This Row],[Число избирателей, внесенных в список избирателей на момент окончания голосования]]</f>
        <v>1149</v>
      </c>
      <c r="J46">
        <v>1100</v>
      </c>
      <c r="K46">
        <v>0</v>
      </c>
      <c r="L46">
        <v>443</v>
      </c>
      <c r="M46">
        <v>11</v>
      </c>
      <c r="N46" s="3">
        <f t="shared" si="22"/>
        <v>39.512619669277633</v>
      </c>
      <c r="O46" s="3">
        <f t="shared" si="23"/>
        <v>0.95735422106179291</v>
      </c>
      <c r="P46">
        <v>646</v>
      </c>
      <c r="Q46">
        <v>11</v>
      </c>
      <c r="R46">
        <v>443</v>
      </c>
      <c r="S46" s="1">
        <f t="shared" si="24"/>
        <v>454</v>
      </c>
      <c r="T46" s="3">
        <f t="shared" si="25"/>
        <v>2.4229074889867843</v>
      </c>
      <c r="U46">
        <v>22</v>
      </c>
      <c r="V46" s="3">
        <f t="shared" si="26"/>
        <v>4.8458149779735686</v>
      </c>
      <c r="W46">
        <v>432</v>
      </c>
      <c r="X46">
        <v>0</v>
      </c>
      <c r="Y46">
        <v>0</v>
      </c>
      <c r="Z46">
        <v>21</v>
      </c>
      <c r="AA46" s="3">
        <f t="shared" si="27"/>
        <v>4.6255506607929515</v>
      </c>
      <c r="AB46">
        <v>30</v>
      </c>
      <c r="AC46" s="3">
        <f t="shared" si="28"/>
        <v>6.607929515418502</v>
      </c>
      <c r="AD46">
        <v>26</v>
      </c>
      <c r="AE46" s="3">
        <f t="shared" si="29"/>
        <v>5.7268722466960353</v>
      </c>
      <c r="AF46">
        <v>169</v>
      </c>
      <c r="AG46" s="3">
        <f t="shared" si="30"/>
        <v>37.224669603524227</v>
      </c>
      <c r="AH46">
        <v>58</v>
      </c>
      <c r="AI46" s="3">
        <f t="shared" si="31"/>
        <v>12.775330396475772</v>
      </c>
      <c r="AJ46">
        <v>20</v>
      </c>
      <c r="AK46" s="3">
        <f t="shared" si="32"/>
        <v>4.4052863436123344</v>
      </c>
      <c r="AL46">
        <v>16</v>
      </c>
      <c r="AM46" s="3">
        <f t="shared" si="16"/>
        <v>3.5242290748898677</v>
      </c>
      <c r="AN46">
        <v>60</v>
      </c>
      <c r="AO46" s="3">
        <f t="shared" si="33"/>
        <v>13.215859030837004</v>
      </c>
      <c r="AP46">
        <v>12</v>
      </c>
      <c r="AQ46" s="3">
        <f t="shared" si="34"/>
        <v>2.643171806167401</v>
      </c>
      <c r="AR46">
        <v>20</v>
      </c>
      <c r="AS46" s="3">
        <f t="shared" si="35"/>
        <v>4.4052863436123344</v>
      </c>
      <c r="AT46" t="s">
        <v>209</v>
      </c>
      <c r="AV46"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33.515151515151501</v>
      </c>
      <c r="AW46" s="13">
        <f>2*(Дума_одномандатный[[#This Row],[Майданов Денис Васильевич]]-(AB$124/100)*Дума_одномандатный[[#This Row],[Число действительных избирательных бюллетеней]])</f>
        <v>44.239999999999952</v>
      </c>
      <c r="AX46" s="13">
        <f>(Дума_одномандатный[[#This Row],[Вброс]]+Дума_одномандатный[[#This Row],[Перекладывание]])/2</f>
        <v>38.877575757575727</v>
      </c>
      <c r="AY46" s="13" t="str">
        <f>Дума_партии[[#This Row],[Зона ответственности в сен. 2022 г.]]</f>
        <v>Одинцово КПРФ</v>
      </c>
    </row>
    <row r="47" spans="1:51" x14ac:dyDescent="0.4">
      <c r="A47" t="s">
        <v>49</v>
      </c>
      <c r="B47" t="s">
        <v>50</v>
      </c>
      <c r="C47" t="s">
        <v>51</v>
      </c>
      <c r="D47" t="s">
        <v>102</v>
      </c>
      <c r="E47" t="s">
        <v>148</v>
      </c>
      <c r="F47" s="1">
        <f t="shared" ca="1" si="21"/>
        <v>1787</v>
      </c>
      <c r="G47" s="1" t="str">
        <f>Дума_партии[[#This Row],[Местоположение]]</f>
        <v>Апрелевка</v>
      </c>
      <c r="H47">
        <v>1477</v>
      </c>
      <c r="I47" s="10">
        <f>Дума_одномандатный[[#This Row],[Число избирателей, внесенных в список избирателей на момент окончания голосования]]</f>
        <v>1477</v>
      </c>
      <c r="J47">
        <v>1400</v>
      </c>
      <c r="K47">
        <v>0</v>
      </c>
      <c r="L47">
        <v>390</v>
      </c>
      <c r="M47">
        <v>245</v>
      </c>
      <c r="N47" s="3">
        <f t="shared" si="22"/>
        <v>42.992552471225459</v>
      </c>
      <c r="O47" s="3">
        <f t="shared" si="23"/>
        <v>16.587677725118482</v>
      </c>
      <c r="P47">
        <v>765</v>
      </c>
      <c r="Q47">
        <v>245</v>
      </c>
      <c r="R47">
        <v>390</v>
      </c>
      <c r="S47" s="1">
        <f t="shared" si="24"/>
        <v>635</v>
      </c>
      <c r="T47" s="3">
        <f t="shared" si="25"/>
        <v>38.582677165354333</v>
      </c>
      <c r="U47">
        <v>28</v>
      </c>
      <c r="V47" s="3">
        <f t="shared" si="26"/>
        <v>4.409448818897638</v>
      </c>
      <c r="W47">
        <v>607</v>
      </c>
      <c r="X47">
        <v>0</v>
      </c>
      <c r="Y47">
        <v>0</v>
      </c>
      <c r="Z47">
        <v>17</v>
      </c>
      <c r="AA47" s="3">
        <f t="shared" si="27"/>
        <v>2.6771653543307088</v>
      </c>
      <c r="AB47">
        <v>27</v>
      </c>
      <c r="AC47" s="3">
        <f t="shared" si="28"/>
        <v>4.2519685039370083</v>
      </c>
      <c r="AD47">
        <v>34</v>
      </c>
      <c r="AE47" s="3">
        <f t="shared" si="29"/>
        <v>5.3543307086614176</v>
      </c>
      <c r="AF47">
        <v>345</v>
      </c>
      <c r="AG47" s="3">
        <f t="shared" si="30"/>
        <v>54.330708661417326</v>
      </c>
      <c r="AH47">
        <v>25</v>
      </c>
      <c r="AI47" s="3">
        <f t="shared" si="31"/>
        <v>3.9370078740157481</v>
      </c>
      <c r="AJ47">
        <v>41</v>
      </c>
      <c r="AK47" s="3">
        <f t="shared" si="32"/>
        <v>6.4566929133858268</v>
      </c>
      <c r="AL47">
        <v>7</v>
      </c>
      <c r="AM47" s="3">
        <f t="shared" si="16"/>
        <v>1.1023622047244095</v>
      </c>
      <c r="AN47">
        <v>83</v>
      </c>
      <c r="AO47" s="3">
        <f t="shared" si="33"/>
        <v>13.070866141732283</v>
      </c>
      <c r="AP47">
        <v>18</v>
      </c>
      <c r="AQ47" s="3">
        <f t="shared" si="34"/>
        <v>2.8346456692913384</v>
      </c>
      <c r="AR47">
        <v>10</v>
      </c>
      <c r="AS47" s="3">
        <f t="shared" si="35"/>
        <v>1.5748031496062993</v>
      </c>
      <c r="AT47" t="s">
        <v>209</v>
      </c>
      <c r="AV47"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210.030303030303</v>
      </c>
      <c r="AW47" s="13">
        <f>2*(Дума_одномандатный[[#This Row],[Майданов Денис Васильевич]]-(AB$124/100)*Дума_одномандатный[[#This Row],[Число действительных избирательных бюллетеней]])</f>
        <v>277.23999999999995</v>
      </c>
      <c r="AX47" s="13">
        <f>(Дума_одномандатный[[#This Row],[Вброс]]+Дума_одномандатный[[#This Row],[Перекладывание]])/2</f>
        <v>243.63515151515148</v>
      </c>
      <c r="AY47" s="13" t="str">
        <f>Дума_партии[[#This Row],[Зона ответственности в сен. 2022 г.]]</f>
        <v>Одинцово КПРФ</v>
      </c>
    </row>
    <row r="48" spans="1:51" x14ac:dyDescent="0.4">
      <c r="A48" t="s">
        <v>49</v>
      </c>
      <c r="B48" t="s">
        <v>50</v>
      </c>
      <c r="C48" t="s">
        <v>51</v>
      </c>
      <c r="D48" t="s">
        <v>102</v>
      </c>
      <c r="E48" t="s">
        <v>149</v>
      </c>
      <c r="F48" s="1">
        <f t="shared" ca="1" si="21"/>
        <v>1788</v>
      </c>
      <c r="G48" s="1" t="str">
        <f>Дума_партии[[#This Row],[Местоположение]]</f>
        <v>Апрелевка</v>
      </c>
      <c r="H48">
        <v>1218</v>
      </c>
      <c r="I48" s="10">
        <f>Дума_одномандатный[[#This Row],[Число избирателей, внесенных в список избирателей на момент окончания голосования]]</f>
        <v>1218</v>
      </c>
      <c r="J48">
        <v>1200</v>
      </c>
      <c r="K48">
        <v>0</v>
      </c>
      <c r="L48">
        <v>423</v>
      </c>
      <c r="M48">
        <v>70</v>
      </c>
      <c r="N48" s="3">
        <f t="shared" si="22"/>
        <v>40.476190476190474</v>
      </c>
      <c r="O48" s="3">
        <f t="shared" si="23"/>
        <v>5.7471264367816088</v>
      </c>
      <c r="P48">
        <v>707</v>
      </c>
      <c r="Q48">
        <v>70</v>
      </c>
      <c r="R48">
        <v>423</v>
      </c>
      <c r="S48" s="1">
        <f t="shared" si="24"/>
        <v>493</v>
      </c>
      <c r="T48" s="3">
        <f t="shared" si="25"/>
        <v>14.198782961460447</v>
      </c>
      <c r="U48">
        <v>63</v>
      </c>
      <c r="V48" s="3">
        <f t="shared" si="26"/>
        <v>12.778904665314402</v>
      </c>
      <c r="W48">
        <v>430</v>
      </c>
      <c r="X48">
        <v>0</v>
      </c>
      <c r="Y48">
        <v>0</v>
      </c>
      <c r="Z48">
        <v>30</v>
      </c>
      <c r="AA48" s="3">
        <f t="shared" si="27"/>
        <v>6.0851926977687629</v>
      </c>
      <c r="AB48">
        <v>27</v>
      </c>
      <c r="AC48" s="3">
        <f t="shared" si="28"/>
        <v>5.4766734279918863</v>
      </c>
      <c r="AD48">
        <v>37</v>
      </c>
      <c r="AE48" s="3">
        <f t="shared" si="29"/>
        <v>7.5050709939148073</v>
      </c>
      <c r="AF48">
        <v>114</v>
      </c>
      <c r="AG48" s="3">
        <f t="shared" si="30"/>
        <v>23.123732251521297</v>
      </c>
      <c r="AH48">
        <v>31</v>
      </c>
      <c r="AI48" s="3">
        <f t="shared" si="31"/>
        <v>6.2880324543610548</v>
      </c>
      <c r="AJ48">
        <v>40</v>
      </c>
      <c r="AK48" s="3">
        <f t="shared" si="32"/>
        <v>8.1135902636916839</v>
      </c>
      <c r="AL48">
        <v>12</v>
      </c>
      <c r="AM48" s="3">
        <f t="shared" si="16"/>
        <v>2.4340770791075053</v>
      </c>
      <c r="AN48">
        <v>90</v>
      </c>
      <c r="AO48" s="3">
        <f t="shared" si="33"/>
        <v>18.255578093306287</v>
      </c>
      <c r="AP48">
        <v>29</v>
      </c>
      <c r="AQ48" s="3">
        <f t="shared" si="34"/>
        <v>5.882352941176471</v>
      </c>
      <c r="AR48">
        <v>20</v>
      </c>
      <c r="AS48" s="3">
        <f t="shared" si="35"/>
        <v>4.056795131845842</v>
      </c>
      <c r="AT48" t="s">
        <v>209</v>
      </c>
      <c r="AV48"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-48.78787878787881</v>
      </c>
      <c r="AW48" s="13">
        <f>2*(Дума_одномандатный[[#This Row],[Майданов Денис Васильевич]]-(AB$124/100)*Дума_одномандатный[[#This Row],[Число действительных избирательных бюллетеней]])</f>
        <v>-64.400000000000034</v>
      </c>
      <c r="AX48" s="13">
        <f>(Дума_одномандатный[[#This Row],[Вброс]]+Дума_одномандатный[[#This Row],[Перекладывание]])/2</f>
        <v>-56.593939393939422</v>
      </c>
      <c r="AY48" s="13" t="str">
        <f>Дума_партии[[#This Row],[Зона ответственности в сен. 2022 г.]]</f>
        <v>Одинцово КПРФ</v>
      </c>
    </row>
    <row r="49" spans="1:51" x14ac:dyDescent="0.4">
      <c r="A49" t="s">
        <v>49</v>
      </c>
      <c r="B49" t="s">
        <v>50</v>
      </c>
      <c r="C49" t="s">
        <v>51</v>
      </c>
      <c r="D49" t="s">
        <v>102</v>
      </c>
      <c r="E49" t="s">
        <v>150</v>
      </c>
      <c r="F49" s="1">
        <f t="shared" ca="1" si="21"/>
        <v>1789</v>
      </c>
      <c r="G49" s="1" t="str">
        <f>Дума_партии[[#This Row],[Местоположение]]</f>
        <v>Апрелевка</v>
      </c>
      <c r="H49">
        <v>3186</v>
      </c>
      <c r="I49" s="10">
        <f>Дума_одномандатный[[#This Row],[Число избирателей, внесенных в список избирателей на момент окончания голосования]]</f>
        <v>3186</v>
      </c>
      <c r="J49">
        <v>3000</v>
      </c>
      <c r="K49">
        <v>0</v>
      </c>
      <c r="L49">
        <v>1120</v>
      </c>
      <c r="M49">
        <v>7</v>
      </c>
      <c r="N49" s="3">
        <f t="shared" si="22"/>
        <v>35.373509102322664</v>
      </c>
      <c r="O49" s="3">
        <f t="shared" si="23"/>
        <v>0.21971123666038919</v>
      </c>
      <c r="P49">
        <v>1873</v>
      </c>
      <c r="Q49">
        <v>7</v>
      </c>
      <c r="R49">
        <v>1120</v>
      </c>
      <c r="S49" s="1">
        <f t="shared" si="24"/>
        <v>1127</v>
      </c>
      <c r="T49" s="3">
        <f t="shared" si="25"/>
        <v>0.6211180124223602</v>
      </c>
      <c r="U49">
        <v>42</v>
      </c>
      <c r="V49" s="3">
        <f t="shared" si="26"/>
        <v>3.7267080745341614</v>
      </c>
      <c r="W49">
        <v>1085</v>
      </c>
      <c r="X49">
        <v>0</v>
      </c>
      <c r="Y49">
        <v>0</v>
      </c>
      <c r="Z49">
        <v>40</v>
      </c>
      <c r="AA49" s="3">
        <f t="shared" si="27"/>
        <v>3.5492457852706298</v>
      </c>
      <c r="AB49">
        <v>57</v>
      </c>
      <c r="AC49" s="3">
        <f t="shared" si="28"/>
        <v>5.0576752440106478</v>
      </c>
      <c r="AD49">
        <v>56</v>
      </c>
      <c r="AE49" s="3">
        <f t="shared" si="29"/>
        <v>4.9689440993788816</v>
      </c>
      <c r="AF49">
        <v>530</v>
      </c>
      <c r="AG49" s="3">
        <f t="shared" si="30"/>
        <v>47.027506654835847</v>
      </c>
      <c r="AH49">
        <v>89</v>
      </c>
      <c r="AI49" s="3">
        <f t="shared" si="31"/>
        <v>7.8970718722271513</v>
      </c>
      <c r="AJ49">
        <v>79</v>
      </c>
      <c r="AK49" s="3">
        <f t="shared" si="32"/>
        <v>7.0097604259094943</v>
      </c>
      <c r="AL49">
        <v>44</v>
      </c>
      <c r="AM49" s="3">
        <f t="shared" si="16"/>
        <v>3.904170363797693</v>
      </c>
      <c r="AN49">
        <v>152</v>
      </c>
      <c r="AO49" s="3">
        <f t="shared" si="33"/>
        <v>13.487133984028395</v>
      </c>
      <c r="AP49">
        <v>26</v>
      </c>
      <c r="AQ49" s="3">
        <f t="shared" si="34"/>
        <v>2.3070097604259097</v>
      </c>
      <c r="AR49">
        <v>12</v>
      </c>
      <c r="AS49" s="3">
        <f t="shared" si="35"/>
        <v>1.064773735581189</v>
      </c>
      <c r="AT49" t="s">
        <v>209</v>
      </c>
      <c r="AV49"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244.09090909090907</v>
      </c>
      <c r="AW49" s="13">
        <f>2*(Дума_одномандатный[[#This Row],[Майданов Денис Васильевич]]-(AB$124/100)*Дума_одномандатный[[#This Row],[Число действительных избирательных бюллетеней]])</f>
        <v>322.19999999999993</v>
      </c>
      <c r="AX49" s="13">
        <f>(Дума_одномандатный[[#This Row],[Вброс]]+Дума_одномандатный[[#This Row],[Перекладывание]])/2</f>
        <v>283.14545454545453</v>
      </c>
      <c r="AY49" s="13" t="str">
        <f>Дума_партии[[#This Row],[Зона ответственности в сен. 2022 г.]]</f>
        <v>Одинцово КПРФ</v>
      </c>
    </row>
    <row r="50" spans="1:51" x14ac:dyDescent="0.4">
      <c r="A50" t="s">
        <v>49</v>
      </c>
      <c r="B50" t="s">
        <v>50</v>
      </c>
      <c r="C50" t="s">
        <v>51</v>
      </c>
      <c r="D50" t="s">
        <v>102</v>
      </c>
      <c r="E50" t="s">
        <v>151</v>
      </c>
      <c r="F50" s="1">
        <f t="shared" ca="1" si="21"/>
        <v>1790</v>
      </c>
      <c r="G50" s="1" t="str">
        <f>Дума_партии[[#This Row],[Местоположение]]</f>
        <v>Верея</v>
      </c>
      <c r="H50">
        <v>1289</v>
      </c>
      <c r="I50" s="10">
        <f>Дума_одномандатный[[#This Row],[Число избирателей, внесенных в список избирателей на момент окончания голосования]]</f>
        <v>1289</v>
      </c>
      <c r="J50">
        <v>1200</v>
      </c>
      <c r="K50">
        <v>0</v>
      </c>
      <c r="L50">
        <v>497</v>
      </c>
      <c r="M50">
        <v>33</v>
      </c>
      <c r="N50" s="3">
        <f t="shared" si="22"/>
        <v>41.117145073700542</v>
      </c>
      <c r="O50" s="3">
        <f t="shared" si="23"/>
        <v>2.5601241272304112</v>
      </c>
      <c r="P50">
        <v>670</v>
      </c>
      <c r="Q50">
        <v>33</v>
      </c>
      <c r="R50">
        <v>496</v>
      </c>
      <c r="S50" s="1">
        <f t="shared" si="24"/>
        <v>529</v>
      </c>
      <c r="T50" s="3">
        <f t="shared" si="25"/>
        <v>6.2381852551984878</v>
      </c>
      <c r="U50">
        <v>47</v>
      </c>
      <c r="V50" s="3">
        <f t="shared" si="26"/>
        <v>8.8846880907372405</v>
      </c>
      <c r="W50">
        <v>482</v>
      </c>
      <c r="X50">
        <v>0</v>
      </c>
      <c r="Y50">
        <v>0</v>
      </c>
      <c r="Z50">
        <v>10</v>
      </c>
      <c r="AA50" s="3">
        <f t="shared" si="27"/>
        <v>1.890359168241966</v>
      </c>
      <c r="AB50">
        <v>22</v>
      </c>
      <c r="AC50" s="3">
        <f t="shared" si="28"/>
        <v>4.1587901701323249</v>
      </c>
      <c r="AD50">
        <v>33</v>
      </c>
      <c r="AE50" s="3">
        <f t="shared" si="29"/>
        <v>6.2381852551984878</v>
      </c>
      <c r="AF50">
        <v>179</v>
      </c>
      <c r="AG50" s="3">
        <f t="shared" si="30"/>
        <v>33.837429111531193</v>
      </c>
      <c r="AH50">
        <v>45</v>
      </c>
      <c r="AI50" s="3">
        <f t="shared" si="31"/>
        <v>8.5066162570888473</v>
      </c>
      <c r="AJ50">
        <v>48</v>
      </c>
      <c r="AK50" s="3">
        <f t="shared" si="32"/>
        <v>9.0737240075614363</v>
      </c>
      <c r="AL50">
        <v>15</v>
      </c>
      <c r="AM50" s="3">
        <f t="shared" si="16"/>
        <v>2.8355387523629489</v>
      </c>
      <c r="AN50">
        <v>106</v>
      </c>
      <c r="AO50" s="3">
        <f t="shared" si="33"/>
        <v>20.037807183364841</v>
      </c>
      <c r="AP50">
        <v>14</v>
      </c>
      <c r="AQ50" s="3">
        <f t="shared" si="34"/>
        <v>2.6465028355387523</v>
      </c>
      <c r="AR50">
        <v>10</v>
      </c>
      <c r="AS50" s="3">
        <f t="shared" si="35"/>
        <v>1.890359168241966</v>
      </c>
      <c r="AT50" t="s">
        <v>209</v>
      </c>
      <c r="AV50"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22.909090909090878</v>
      </c>
      <c r="AW50" s="13">
        <f>2*(Дума_одномандатный[[#This Row],[Майданов Денис Васильевич]]-(AB$124/100)*Дума_одномандатный[[#This Row],[Число действительных избирательных бюллетеней]])</f>
        <v>30.239999999999952</v>
      </c>
      <c r="AX50" s="13">
        <f>(Дума_одномандатный[[#This Row],[Вброс]]+Дума_одномандатный[[#This Row],[Перекладывание]])/2</f>
        <v>26.574545454545415</v>
      </c>
      <c r="AY50" s="13">
        <f>Дума_партии[[#This Row],[Зона ответственности в сен. 2022 г.]]</f>
        <v>0</v>
      </c>
    </row>
    <row r="51" spans="1:51" x14ac:dyDescent="0.4">
      <c r="A51" t="s">
        <v>49</v>
      </c>
      <c r="B51" t="s">
        <v>50</v>
      </c>
      <c r="C51" t="s">
        <v>51</v>
      </c>
      <c r="D51" t="s">
        <v>102</v>
      </c>
      <c r="E51" t="s">
        <v>152</v>
      </c>
      <c r="F51" s="1">
        <f t="shared" ca="1" si="21"/>
        <v>1791</v>
      </c>
      <c r="G51" s="1" t="str">
        <f>Дума_партии[[#This Row],[Местоположение]]</f>
        <v>Верея</v>
      </c>
      <c r="H51">
        <v>1259</v>
      </c>
      <c r="I51" s="10">
        <f>Дума_одномандатный[[#This Row],[Число избирателей, внесенных в список избирателей на момент окончания голосования]]</f>
        <v>1259</v>
      </c>
      <c r="J51">
        <v>1200</v>
      </c>
      <c r="K51">
        <v>0</v>
      </c>
      <c r="L51">
        <v>393</v>
      </c>
      <c r="M51">
        <v>43</v>
      </c>
      <c r="N51" s="3">
        <f t="shared" si="22"/>
        <v>34.630659253375697</v>
      </c>
      <c r="O51" s="3">
        <f t="shared" si="23"/>
        <v>3.415409054805401</v>
      </c>
      <c r="P51">
        <v>764</v>
      </c>
      <c r="Q51">
        <v>43</v>
      </c>
      <c r="R51">
        <v>393</v>
      </c>
      <c r="S51" s="1">
        <f t="shared" si="24"/>
        <v>436</v>
      </c>
      <c r="T51" s="3">
        <f t="shared" si="25"/>
        <v>9.862385321100918</v>
      </c>
      <c r="U51">
        <v>34</v>
      </c>
      <c r="V51" s="3">
        <f t="shared" si="26"/>
        <v>7.7981651376146788</v>
      </c>
      <c r="W51">
        <v>402</v>
      </c>
      <c r="X51">
        <v>0</v>
      </c>
      <c r="Y51">
        <v>0</v>
      </c>
      <c r="Z51">
        <v>11</v>
      </c>
      <c r="AA51" s="3">
        <f t="shared" si="27"/>
        <v>2.522935779816514</v>
      </c>
      <c r="AB51">
        <v>32</v>
      </c>
      <c r="AC51" s="3">
        <f t="shared" si="28"/>
        <v>7.3394495412844041</v>
      </c>
      <c r="AD51">
        <v>37</v>
      </c>
      <c r="AE51" s="3">
        <f t="shared" si="29"/>
        <v>8.4862385321100913</v>
      </c>
      <c r="AF51">
        <v>129</v>
      </c>
      <c r="AG51" s="3">
        <f t="shared" si="30"/>
        <v>29.587155963302752</v>
      </c>
      <c r="AH51">
        <v>46</v>
      </c>
      <c r="AI51" s="3">
        <f t="shared" si="31"/>
        <v>10.55045871559633</v>
      </c>
      <c r="AJ51">
        <v>46</v>
      </c>
      <c r="AK51" s="3">
        <f t="shared" si="32"/>
        <v>10.55045871559633</v>
      </c>
      <c r="AL51">
        <v>2</v>
      </c>
      <c r="AM51" s="3">
        <f t="shared" si="16"/>
        <v>0.45871559633027525</v>
      </c>
      <c r="AN51">
        <v>68</v>
      </c>
      <c r="AO51" s="3">
        <f t="shared" si="33"/>
        <v>15.596330275229358</v>
      </c>
      <c r="AP51">
        <v>23</v>
      </c>
      <c r="AQ51" s="3">
        <f t="shared" si="34"/>
        <v>5.2752293577981648</v>
      </c>
      <c r="AR51">
        <v>8</v>
      </c>
      <c r="AS51" s="3">
        <f t="shared" si="35"/>
        <v>1.834862385321101</v>
      </c>
      <c r="AT51" t="s">
        <v>209</v>
      </c>
      <c r="AV51"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-11.636363636363654</v>
      </c>
      <c r="AW51" s="13">
        <f>2*(Дума_одномандатный[[#This Row],[Майданов Денис Васильевич]]-(AB$124/100)*Дума_одномандатный[[#This Row],[Число действительных избирательных бюллетеней]])</f>
        <v>-15.360000000000014</v>
      </c>
      <c r="AX51" s="13">
        <f>(Дума_одномандатный[[#This Row],[Вброс]]+Дума_одномандатный[[#This Row],[Перекладывание]])/2</f>
        <v>-13.498181818181834</v>
      </c>
      <c r="AY51" s="13">
        <f>Дума_партии[[#This Row],[Зона ответственности в сен. 2022 г.]]</f>
        <v>0</v>
      </c>
    </row>
    <row r="52" spans="1:51" x14ac:dyDescent="0.4">
      <c r="A52" t="s">
        <v>49</v>
      </c>
      <c r="B52" t="s">
        <v>50</v>
      </c>
      <c r="C52" t="s">
        <v>51</v>
      </c>
      <c r="D52" t="s">
        <v>102</v>
      </c>
      <c r="E52" t="s">
        <v>153</v>
      </c>
      <c r="F52" s="1">
        <f t="shared" ca="1" si="21"/>
        <v>1792</v>
      </c>
      <c r="G52" s="1" t="str">
        <f>Дума_партии[[#This Row],[Местоположение]]</f>
        <v>Симбухово</v>
      </c>
      <c r="H52">
        <v>245</v>
      </c>
      <c r="I52" s="10">
        <f>Дума_одномандатный[[#This Row],[Число избирателей, внесенных в список избирателей на момент окончания голосования]]</f>
        <v>245</v>
      </c>
      <c r="J52">
        <v>200</v>
      </c>
      <c r="K52">
        <v>0</v>
      </c>
      <c r="L52">
        <v>66</v>
      </c>
      <c r="M52">
        <v>27</v>
      </c>
      <c r="N52" s="3">
        <f t="shared" si="22"/>
        <v>37.95918367346939</v>
      </c>
      <c r="O52" s="3">
        <f t="shared" si="23"/>
        <v>11.020408163265307</v>
      </c>
      <c r="P52">
        <v>107</v>
      </c>
      <c r="Q52">
        <v>27</v>
      </c>
      <c r="R52">
        <v>66</v>
      </c>
      <c r="S52" s="1">
        <f t="shared" si="24"/>
        <v>93</v>
      </c>
      <c r="T52" s="3">
        <f t="shared" si="25"/>
        <v>29.032258064516128</v>
      </c>
      <c r="U52">
        <v>9</v>
      </c>
      <c r="V52" s="3">
        <f t="shared" si="26"/>
        <v>9.67741935483871</v>
      </c>
      <c r="W52">
        <v>84</v>
      </c>
      <c r="X52">
        <v>0</v>
      </c>
      <c r="Y52">
        <v>0</v>
      </c>
      <c r="Z52">
        <v>1</v>
      </c>
      <c r="AA52" s="3">
        <f t="shared" si="27"/>
        <v>1.075268817204301</v>
      </c>
      <c r="AB52">
        <v>1</v>
      </c>
      <c r="AC52" s="3">
        <f t="shared" si="28"/>
        <v>1.075268817204301</v>
      </c>
      <c r="AD52">
        <v>5</v>
      </c>
      <c r="AE52" s="3">
        <f t="shared" si="29"/>
        <v>5.376344086021505</v>
      </c>
      <c r="AF52">
        <v>26</v>
      </c>
      <c r="AG52" s="3">
        <f t="shared" si="30"/>
        <v>27.956989247311828</v>
      </c>
      <c r="AH52">
        <v>12</v>
      </c>
      <c r="AI52" s="3">
        <f t="shared" si="31"/>
        <v>12.903225806451612</v>
      </c>
      <c r="AJ52">
        <v>14</v>
      </c>
      <c r="AK52" s="3">
        <f t="shared" si="32"/>
        <v>15.053763440860216</v>
      </c>
      <c r="AL52">
        <v>1</v>
      </c>
      <c r="AM52" s="3">
        <f t="shared" si="16"/>
        <v>1.075268817204301</v>
      </c>
      <c r="AN52">
        <v>18</v>
      </c>
      <c r="AO52" s="3">
        <f t="shared" si="33"/>
        <v>19.35483870967742</v>
      </c>
      <c r="AP52">
        <v>4</v>
      </c>
      <c r="AQ52" s="3">
        <f t="shared" si="34"/>
        <v>4.301075268817204</v>
      </c>
      <c r="AR52">
        <v>2</v>
      </c>
      <c r="AS52" s="3">
        <f t="shared" si="35"/>
        <v>2.150537634408602</v>
      </c>
      <c r="AT52" t="s">
        <v>209</v>
      </c>
      <c r="AV52"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-3.878787878787886</v>
      </c>
      <c r="AW52" s="13">
        <f>2*(Дума_одномандатный[[#This Row],[Майданов Денис Васильевич]]-(AB$124/100)*Дума_одномандатный[[#This Row],[Число действительных избирательных бюллетеней]])</f>
        <v>-5.1200000000000045</v>
      </c>
      <c r="AX52" s="13">
        <f>(Дума_одномандатный[[#This Row],[Вброс]]+Дума_одномандатный[[#This Row],[Перекладывание]])/2</f>
        <v>-4.4993939393939453</v>
      </c>
      <c r="AY52" s="13">
        <f>Дума_партии[[#This Row],[Зона ответственности в сен. 2022 г.]]</f>
        <v>0</v>
      </c>
    </row>
    <row r="53" spans="1:51" x14ac:dyDescent="0.4">
      <c r="A53" t="s">
        <v>49</v>
      </c>
      <c r="B53" t="s">
        <v>50</v>
      </c>
      <c r="C53" t="s">
        <v>51</v>
      </c>
      <c r="D53" t="s">
        <v>102</v>
      </c>
      <c r="E53" t="s">
        <v>154</v>
      </c>
      <c r="F53" s="1">
        <f t="shared" ca="1" si="21"/>
        <v>1793</v>
      </c>
      <c r="G53" s="1" t="str">
        <f>Дума_партии[[#This Row],[Местоположение]]</f>
        <v>Рождествено</v>
      </c>
      <c r="H53">
        <v>192</v>
      </c>
      <c r="I53" s="10">
        <f>Дума_одномандатный[[#This Row],[Число избирателей, внесенных в список избирателей на момент окончания голосования]]</f>
        <v>192</v>
      </c>
      <c r="J53">
        <v>150</v>
      </c>
      <c r="K53">
        <v>0</v>
      </c>
      <c r="L53">
        <v>66</v>
      </c>
      <c r="M53">
        <v>13</v>
      </c>
      <c r="N53" s="3">
        <f t="shared" si="22"/>
        <v>41.145833333333336</v>
      </c>
      <c r="O53" s="3">
        <f t="shared" si="23"/>
        <v>6.770833333333333</v>
      </c>
      <c r="P53">
        <v>71</v>
      </c>
      <c r="Q53">
        <v>13</v>
      </c>
      <c r="R53">
        <v>66</v>
      </c>
      <c r="S53" s="1">
        <f t="shared" si="24"/>
        <v>79</v>
      </c>
      <c r="T53" s="3">
        <f t="shared" si="25"/>
        <v>16.455696202531644</v>
      </c>
      <c r="U53">
        <v>3</v>
      </c>
      <c r="V53" s="3">
        <f t="shared" si="26"/>
        <v>3.7974683544303796</v>
      </c>
      <c r="W53">
        <v>76</v>
      </c>
      <c r="X53">
        <v>0</v>
      </c>
      <c r="Y53">
        <v>0</v>
      </c>
      <c r="Z53">
        <v>1</v>
      </c>
      <c r="AA53" s="3">
        <f t="shared" si="27"/>
        <v>1.2658227848101267</v>
      </c>
      <c r="AB53">
        <v>2</v>
      </c>
      <c r="AC53" s="3">
        <f t="shared" si="28"/>
        <v>2.5316455696202533</v>
      </c>
      <c r="AD53">
        <v>5</v>
      </c>
      <c r="AE53" s="3">
        <f t="shared" si="29"/>
        <v>6.3291139240506329</v>
      </c>
      <c r="AF53">
        <v>28</v>
      </c>
      <c r="AG53" s="3">
        <f t="shared" si="30"/>
        <v>35.443037974683541</v>
      </c>
      <c r="AH53">
        <v>5</v>
      </c>
      <c r="AI53" s="3">
        <f t="shared" si="31"/>
        <v>6.3291139240506329</v>
      </c>
      <c r="AJ53">
        <v>13</v>
      </c>
      <c r="AK53" s="3">
        <f t="shared" si="32"/>
        <v>16.455696202531644</v>
      </c>
      <c r="AL53">
        <v>2</v>
      </c>
      <c r="AM53" s="3">
        <f t="shared" si="16"/>
        <v>2.5316455696202533</v>
      </c>
      <c r="AN53">
        <v>17</v>
      </c>
      <c r="AO53" s="3">
        <f t="shared" si="33"/>
        <v>21.518987341772153</v>
      </c>
      <c r="AP53">
        <v>3</v>
      </c>
      <c r="AQ53" s="3">
        <f t="shared" si="34"/>
        <v>3.7974683544303796</v>
      </c>
      <c r="AR53">
        <v>0</v>
      </c>
      <c r="AS53" s="3">
        <f t="shared" si="35"/>
        <v>0</v>
      </c>
      <c r="AT53" t="s">
        <v>209</v>
      </c>
      <c r="AV53"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3.2727272727272663</v>
      </c>
      <c r="AW53" s="13">
        <f>2*(Дума_одномандатный[[#This Row],[Майданов Денис Васильевич]]-(AB$124/100)*Дума_одномандатный[[#This Row],[Число действительных избирательных бюллетеней]])</f>
        <v>4.3199999999999932</v>
      </c>
      <c r="AX53" s="13">
        <f>(Дума_одномандатный[[#This Row],[Вброс]]+Дума_одномандатный[[#This Row],[Перекладывание]])/2</f>
        <v>3.7963636363636297</v>
      </c>
      <c r="AY53" s="13">
        <f>Дума_партии[[#This Row],[Зона ответственности в сен. 2022 г.]]</f>
        <v>0</v>
      </c>
    </row>
    <row r="54" spans="1:51" x14ac:dyDescent="0.4">
      <c r="A54" t="s">
        <v>49</v>
      </c>
      <c r="B54" t="s">
        <v>50</v>
      </c>
      <c r="C54" t="s">
        <v>51</v>
      </c>
      <c r="D54" t="s">
        <v>102</v>
      </c>
      <c r="E54" t="s">
        <v>155</v>
      </c>
      <c r="F54" s="1">
        <f t="shared" ca="1" si="21"/>
        <v>1794</v>
      </c>
      <c r="G54" s="1" t="str">
        <f>Дума_партии[[#This Row],[Местоположение]]</f>
        <v>Верея</v>
      </c>
      <c r="H54">
        <v>332</v>
      </c>
      <c r="I54" s="10">
        <f>Дума_одномандатный[[#This Row],[Число избирателей, внесенных в список избирателей на момент окончания голосования]]</f>
        <v>332</v>
      </c>
      <c r="J54">
        <v>300</v>
      </c>
      <c r="K54">
        <v>0</v>
      </c>
      <c r="L54">
        <v>105</v>
      </c>
      <c r="M54">
        <v>17</v>
      </c>
      <c r="N54" s="3">
        <f t="shared" si="22"/>
        <v>36.746987951807228</v>
      </c>
      <c r="O54" s="3">
        <f t="shared" si="23"/>
        <v>5.1204819277108431</v>
      </c>
      <c r="P54">
        <v>178</v>
      </c>
      <c r="Q54">
        <v>17</v>
      </c>
      <c r="R54">
        <v>105</v>
      </c>
      <c r="S54" s="1">
        <f t="shared" si="24"/>
        <v>122</v>
      </c>
      <c r="T54" s="3">
        <f t="shared" si="25"/>
        <v>13.934426229508198</v>
      </c>
      <c r="U54">
        <v>13</v>
      </c>
      <c r="V54" s="3">
        <f t="shared" si="26"/>
        <v>10.655737704918034</v>
      </c>
      <c r="W54">
        <v>109</v>
      </c>
      <c r="X54">
        <v>0</v>
      </c>
      <c r="Y54">
        <v>0</v>
      </c>
      <c r="Z54">
        <v>3</v>
      </c>
      <c r="AA54" s="3">
        <f t="shared" si="27"/>
        <v>2.459016393442623</v>
      </c>
      <c r="AB54">
        <v>5</v>
      </c>
      <c r="AC54" s="3">
        <f t="shared" si="28"/>
        <v>4.0983606557377046</v>
      </c>
      <c r="AD54">
        <v>9</v>
      </c>
      <c r="AE54" s="3">
        <f t="shared" si="29"/>
        <v>7.3770491803278686</v>
      </c>
      <c r="AF54">
        <v>35</v>
      </c>
      <c r="AG54" s="3">
        <f t="shared" si="30"/>
        <v>28.688524590163933</v>
      </c>
      <c r="AH54">
        <v>8</v>
      </c>
      <c r="AI54" s="3">
        <f t="shared" si="31"/>
        <v>6.557377049180328</v>
      </c>
      <c r="AJ54">
        <v>9</v>
      </c>
      <c r="AK54" s="3">
        <f t="shared" si="32"/>
        <v>7.3770491803278686</v>
      </c>
      <c r="AL54">
        <v>1</v>
      </c>
      <c r="AM54" s="3">
        <f t="shared" si="16"/>
        <v>0.81967213114754101</v>
      </c>
      <c r="AN54">
        <v>31</v>
      </c>
      <c r="AO54" s="3">
        <f t="shared" si="33"/>
        <v>25.409836065573771</v>
      </c>
      <c r="AP54">
        <v>6</v>
      </c>
      <c r="AQ54" s="3">
        <f t="shared" si="34"/>
        <v>4.918032786885246</v>
      </c>
      <c r="AR54">
        <v>2</v>
      </c>
      <c r="AS54" s="3">
        <f t="shared" si="35"/>
        <v>1.639344262295082</v>
      </c>
      <c r="AT54" t="s">
        <v>209</v>
      </c>
      <c r="AV54"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-3.1212121212121318</v>
      </c>
      <c r="AW54" s="13">
        <f>2*(Дума_одномандатный[[#This Row],[Майданов Денис Васильевич]]-(AB$124/100)*Дума_одномандатный[[#This Row],[Число действительных избирательных бюллетеней]])</f>
        <v>-4.1200000000000045</v>
      </c>
      <c r="AX54" s="13">
        <f>(Дума_одномандатный[[#This Row],[Вброс]]+Дума_одномандатный[[#This Row],[Перекладывание]])/2</f>
        <v>-3.6206060606060682</v>
      </c>
      <c r="AY54" s="13">
        <f>Дума_партии[[#This Row],[Зона ответственности в сен. 2022 г.]]</f>
        <v>0</v>
      </c>
    </row>
    <row r="55" spans="1:51" x14ac:dyDescent="0.4">
      <c r="A55" t="s">
        <v>49</v>
      </c>
      <c r="B55" t="s">
        <v>50</v>
      </c>
      <c r="C55" t="s">
        <v>51</v>
      </c>
      <c r="D55" t="s">
        <v>102</v>
      </c>
      <c r="E55" t="s">
        <v>156</v>
      </c>
      <c r="F55" s="1">
        <f t="shared" ca="1" si="21"/>
        <v>1795</v>
      </c>
      <c r="G55" s="1" t="str">
        <f>Дума_партии[[#This Row],[Местоположение]]</f>
        <v>Калининец</v>
      </c>
      <c r="H55">
        <v>1524</v>
      </c>
      <c r="I55" s="10">
        <f>Дума_одномандатный[[#This Row],[Число избирателей, внесенных в список избирателей на момент окончания голосования]]</f>
        <v>1524</v>
      </c>
      <c r="J55">
        <v>1500</v>
      </c>
      <c r="K55">
        <v>0</v>
      </c>
      <c r="L55">
        <v>485</v>
      </c>
      <c r="M55">
        <v>9</v>
      </c>
      <c r="N55" s="3">
        <f t="shared" si="22"/>
        <v>32.414698162729657</v>
      </c>
      <c r="O55" s="3">
        <f t="shared" si="23"/>
        <v>0.59055118110236215</v>
      </c>
      <c r="P55">
        <v>1006</v>
      </c>
      <c r="Q55">
        <v>9</v>
      </c>
      <c r="R55">
        <v>485</v>
      </c>
      <c r="S55" s="1">
        <f t="shared" si="24"/>
        <v>494</v>
      </c>
      <c r="T55" s="3">
        <f t="shared" si="25"/>
        <v>1.8218623481781377</v>
      </c>
      <c r="U55">
        <v>24</v>
      </c>
      <c r="V55" s="3">
        <f t="shared" si="26"/>
        <v>4.8582995951417001</v>
      </c>
      <c r="W55">
        <v>470</v>
      </c>
      <c r="X55">
        <v>0</v>
      </c>
      <c r="Y55">
        <v>0</v>
      </c>
      <c r="Z55">
        <v>11</v>
      </c>
      <c r="AA55" s="3">
        <f t="shared" si="27"/>
        <v>2.2267206477732793</v>
      </c>
      <c r="AB55">
        <v>32</v>
      </c>
      <c r="AC55" s="3">
        <f t="shared" si="28"/>
        <v>6.4777327935222671</v>
      </c>
      <c r="AD55">
        <v>32</v>
      </c>
      <c r="AE55" s="3">
        <f t="shared" si="29"/>
        <v>6.4777327935222671</v>
      </c>
      <c r="AF55">
        <v>185</v>
      </c>
      <c r="AG55" s="3">
        <f t="shared" si="30"/>
        <v>37.449392712550605</v>
      </c>
      <c r="AH55">
        <v>53</v>
      </c>
      <c r="AI55" s="3">
        <f t="shared" si="31"/>
        <v>10.728744939271255</v>
      </c>
      <c r="AJ55">
        <v>44</v>
      </c>
      <c r="AK55" s="3">
        <f t="shared" si="32"/>
        <v>8.9068825910931171</v>
      </c>
      <c r="AL55">
        <v>7</v>
      </c>
      <c r="AM55" s="3">
        <f t="shared" si="16"/>
        <v>1.417004048582996</v>
      </c>
      <c r="AN55">
        <v>77</v>
      </c>
      <c r="AO55" s="3">
        <f t="shared" si="33"/>
        <v>15.587044534412955</v>
      </c>
      <c r="AP55">
        <v>12</v>
      </c>
      <c r="AQ55" s="3">
        <f t="shared" si="34"/>
        <v>2.42914979757085</v>
      </c>
      <c r="AR55">
        <v>17</v>
      </c>
      <c r="AS55" s="3">
        <f t="shared" si="35"/>
        <v>3.4412955465587043</v>
      </c>
      <c r="AT55" t="s">
        <v>209</v>
      </c>
      <c r="AV55"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38.181818181818159</v>
      </c>
      <c r="AW55" s="13">
        <f>2*(Дума_одномандатный[[#This Row],[Майданов Денис Васильевич]]-(AB$124/100)*Дума_одномандатный[[#This Row],[Число действительных избирательных бюллетеней]])</f>
        <v>50.399999999999977</v>
      </c>
      <c r="AX55" s="13">
        <f>(Дума_одномандатный[[#This Row],[Вброс]]+Дума_одномандатный[[#This Row],[Перекладывание]])/2</f>
        <v>44.290909090909068</v>
      </c>
      <c r="AY55" s="13" t="str">
        <f>Дума_партии[[#This Row],[Зона ответственности в сен. 2022 г.]]</f>
        <v>Одинцово КПРФ</v>
      </c>
    </row>
    <row r="56" spans="1:51" x14ac:dyDescent="0.4">
      <c r="A56" t="s">
        <v>49</v>
      </c>
      <c r="B56" t="s">
        <v>50</v>
      </c>
      <c r="C56" t="s">
        <v>51</v>
      </c>
      <c r="D56" t="s">
        <v>102</v>
      </c>
      <c r="E56" t="s">
        <v>157</v>
      </c>
      <c r="F56" s="1">
        <f t="shared" ca="1" si="21"/>
        <v>1796</v>
      </c>
      <c r="G56" s="1" t="str">
        <f>Дума_партии[[#This Row],[Местоположение]]</f>
        <v>Калининец</v>
      </c>
      <c r="H56">
        <v>1563</v>
      </c>
      <c r="I56" s="10">
        <f>Дума_одномандатный[[#This Row],[Число избирателей, внесенных в список избирателей на момент окончания голосования]]</f>
        <v>1563</v>
      </c>
      <c r="J56">
        <v>1600</v>
      </c>
      <c r="K56">
        <v>0</v>
      </c>
      <c r="L56">
        <v>545</v>
      </c>
      <c r="M56">
        <v>13</v>
      </c>
      <c r="N56" s="3">
        <f t="shared" si="22"/>
        <v>35.700575815738965</v>
      </c>
      <c r="O56" s="3">
        <f t="shared" si="23"/>
        <v>0.83173384516954574</v>
      </c>
      <c r="P56">
        <v>1042</v>
      </c>
      <c r="Q56">
        <v>13</v>
      </c>
      <c r="R56">
        <v>543</v>
      </c>
      <c r="S56" s="1">
        <f t="shared" si="24"/>
        <v>556</v>
      </c>
      <c r="T56" s="3">
        <f t="shared" si="25"/>
        <v>2.3381294964028778</v>
      </c>
      <c r="U56">
        <v>24</v>
      </c>
      <c r="V56" s="3">
        <f t="shared" si="26"/>
        <v>4.3165467625899279</v>
      </c>
      <c r="W56">
        <v>532</v>
      </c>
      <c r="X56">
        <v>0</v>
      </c>
      <c r="Y56">
        <v>0</v>
      </c>
      <c r="Z56">
        <v>12</v>
      </c>
      <c r="AA56" s="3">
        <f t="shared" si="27"/>
        <v>2.1582733812949639</v>
      </c>
      <c r="AB56">
        <v>25</v>
      </c>
      <c r="AC56" s="3">
        <f t="shared" si="28"/>
        <v>4.4964028776978413</v>
      </c>
      <c r="AD56">
        <v>38</v>
      </c>
      <c r="AE56" s="3">
        <f t="shared" si="29"/>
        <v>6.8345323741007196</v>
      </c>
      <c r="AF56">
        <v>228</v>
      </c>
      <c r="AG56" s="3">
        <f t="shared" si="30"/>
        <v>41.007194244604314</v>
      </c>
      <c r="AH56">
        <v>55</v>
      </c>
      <c r="AI56" s="3">
        <f t="shared" si="31"/>
        <v>9.8920863309352516</v>
      </c>
      <c r="AJ56">
        <v>41</v>
      </c>
      <c r="AK56" s="3">
        <f t="shared" si="32"/>
        <v>7.3741007194244608</v>
      </c>
      <c r="AL56">
        <v>6</v>
      </c>
      <c r="AM56" s="3">
        <f t="shared" si="16"/>
        <v>1.079136690647482</v>
      </c>
      <c r="AN56">
        <v>89</v>
      </c>
      <c r="AO56" s="3">
        <f t="shared" si="33"/>
        <v>16.007194244604317</v>
      </c>
      <c r="AP56">
        <v>20</v>
      </c>
      <c r="AQ56" s="3">
        <f t="shared" si="34"/>
        <v>3.5971223021582732</v>
      </c>
      <c r="AR56">
        <v>18</v>
      </c>
      <c r="AS56" s="3">
        <f t="shared" si="35"/>
        <v>3.2374100719424459</v>
      </c>
      <c r="AT56" t="s">
        <v>209</v>
      </c>
      <c r="AV56"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71.393939393939377</v>
      </c>
      <c r="AW56" s="13">
        <f>2*(Дума_одномандатный[[#This Row],[Майданов Денис Васильевич]]-(AB$124/100)*Дума_одномандатный[[#This Row],[Число действительных избирательных бюллетеней]])</f>
        <v>94.239999999999952</v>
      </c>
      <c r="AX56" s="13">
        <f>(Дума_одномандатный[[#This Row],[Вброс]]+Дума_одномандатный[[#This Row],[Перекладывание]])/2</f>
        <v>82.816969696969664</v>
      </c>
      <c r="AY56" s="13" t="str">
        <f>Дума_партии[[#This Row],[Зона ответственности в сен. 2022 г.]]</f>
        <v>Одинцово КПРФ</v>
      </c>
    </row>
    <row r="57" spans="1:51" x14ac:dyDescent="0.4">
      <c r="A57" t="s">
        <v>49</v>
      </c>
      <c r="B57" t="s">
        <v>50</v>
      </c>
      <c r="C57" t="s">
        <v>51</v>
      </c>
      <c r="D57" t="s">
        <v>102</v>
      </c>
      <c r="E57" t="s">
        <v>158</v>
      </c>
      <c r="F57" s="1">
        <f t="shared" ca="1" si="21"/>
        <v>1797</v>
      </c>
      <c r="G57" s="1" t="str">
        <f>Дума_партии[[#This Row],[Местоположение]]</f>
        <v>Калининец</v>
      </c>
      <c r="H57">
        <v>1221</v>
      </c>
      <c r="I57" s="10">
        <f>Дума_одномандатный[[#This Row],[Число избирателей, внесенных в список избирателей на момент окончания голосования]]</f>
        <v>1221</v>
      </c>
      <c r="J57">
        <v>1100</v>
      </c>
      <c r="K57">
        <v>0</v>
      </c>
      <c r="L57">
        <v>549</v>
      </c>
      <c r="M57">
        <v>8</v>
      </c>
      <c r="N57" s="3">
        <f t="shared" si="22"/>
        <v>45.618345618345622</v>
      </c>
      <c r="O57" s="3">
        <f t="shared" si="23"/>
        <v>0.65520065520065518</v>
      </c>
      <c r="P57">
        <v>543</v>
      </c>
      <c r="Q57">
        <v>8</v>
      </c>
      <c r="R57">
        <v>549</v>
      </c>
      <c r="S57" s="1">
        <f t="shared" si="24"/>
        <v>557</v>
      </c>
      <c r="T57" s="3">
        <f t="shared" si="25"/>
        <v>1.4362657091561939</v>
      </c>
      <c r="U57">
        <v>28</v>
      </c>
      <c r="V57" s="3">
        <f t="shared" si="26"/>
        <v>5.0269299820466786</v>
      </c>
      <c r="W57">
        <v>529</v>
      </c>
      <c r="X57">
        <v>0</v>
      </c>
      <c r="Y57">
        <v>0</v>
      </c>
      <c r="Z57">
        <v>16</v>
      </c>
      <c r="AA57" s="3">
        <f t="shared" si="27"/>
        <v>2.8725314183123878</v>
      </c>
      <c r="AB57">
        <v>34</v>
      </c>
      <c r="AC57" s="3">
        <f t="shared" si="28"/>
        <v>6.1041292639138245</v>
      </c>
      <c r="AD57">
        <v>38</v>
      </c>
      <c r="AE57" s="3">
        <f t="shared" si="29"/>
        <v>6.8222621184919214</v>
      </c>
      <c r="AF57">
        <v>204</v>
      </c>
      <c r="AG57" s="3">
        <f t="shared" si="30"/>
        <v>36.624775583482943</v>
      </c>
      <c r="AH57">
        <v>54</v>
      </c>
      <c r="AI57" s="3">
        <f t="shared" si="31"/>
        <v>9.6947935368043083</v>
      </c>
      <c r="AJ57">
        <v>37</v>
      </c>
      <c r="AK57" s="3">
        <f t="shared" si="32"/>
        <v>6.642728904847397</v>
      </c>
      <c r="AL57">
        <v>11</v>
      </c>
      <c r="AM57" s="3">
        <f t="shared" si="16"/>
        <v>1.9748653500897666</v>
      </c>
      <c r="AN57">
        <v>91</v>
      </c>
      <c r="AO57" s="3">
        <f t="shared" si="33"/>
        <v>16.337522441651707</v>
      </c>
      <c r="AP57">
        <v>26</v>
      </c>
      <c r="AQ57" s="3">
        <f t="shared" si="34"/>
        <v>4.6678635547576306</v>
      </c>
      <c r="AR57">
        <v>18</v>
      </c>
      <c r="AS57" s="3">
        <f t="shared" si="35"/>
        <v>3.2315978456014363</v>
      </c>
      <c r="AT57" t="s">
        <v>209</v>
      </c>
      <c r="AV57"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36.575757575757535</v>
      </c>
      <c r="AW57" s="13">
        <f>2*(Дума_одномандатный[[#This Row],[Майданов Денис Васильевич]]-(AB$124/100)*Дума_одномандатный[[#This Row],[Число действительных избирательных бюллетеней]])</f>
        <v>48.279999999999973</v>
      </c>
      <c r="AX57" s="13">
        <f>(Дума_одномандатный[[#This Row],[Вброс]]+Дума_одномандатный[[#This Row],[Перекладывание]])/2</f>
        <v>42.427878787878754</v>
      </c>
      <c r="AY57" s="13" t="str">
        <f>Дума_партии[[#This Row],[Зона ответственности в сен. 2022 г.]]</f>
        <v>Одинцово КПРФ</v>
      </c>
    </row>
    <row r="58" spans="1:51" x14ac:dyDescent="0.4">
      <c r="A58" t="s">
        <v>49</v>
      </c>
      <c r="B58" t="s">
        <v>50</v>
      </c>
      <c r="C58" t="s">
        <v>51</v>
      </c>
      <c r="D58" t="s">
        <v>102</v>
      </c>
      <c r="E58" t="s">
        <v>159</v>
      </c>
      <c r="F58" s="1">
        <f t="shared" ca="1" si="21"/>
        <v>1798</v>
      </c>
      <c r="G58" s="1" t="str">
        <f>Дума_партии[[#This Row],[Местоположение]]</f>
        <v>Калининец</v>
      </c>
      <c r="H58">
        <v>1941</v>
      </c>
      <c r="I58" s="10">
        <f>Дума_одномандатный[[#This Row],[Число избирателей, внесенных в список избирателей на момент окончания голосования]]</f>
        <v>1941</v>
      </c>
      <c r="J58">
        <v>1800</v>
      </c>
      <c r="K58">
        <v>0</v>
      </c>
      <c r="L58">
        <v>1100</v>
      </c>
      <c r="M58">
        <v>3</v>
      </c>
      <c r="N58" s="3">
        <f t="shared" si="22"/>
        <v>56.8263781555899</v>
      </c>
      <c r="O58" s="3">
        <f t="shared" si="23"/>
        <v>0.15455950540958269</v>
      </c>
      <c r="P58">
        <v>697</v>
      </c>
      <c r="Q58">
        <v>3</v>
      </c>
      <c r="R58">
        <v>1100</v>
      </c>
      <c r="S58" s="1">
        <f t="shared" si="24"/>
        <v>1103</v>
      </c>
      <c r="T58" s="3">
        <f t="shared" si="25"/>
        <v>0.27198549410698097</v>
      </c>
      <c r="U58">
        <v>49</v>
      </c>
      <c r="V58" s="3">
        <f t="shared" si="26"/>
        <v>4.4424297370806887</v>
      </c>
      <c r="W58">
        <v>1054</v>
      </c>
      <c r="X58">
        <v>0</v>
      </c>
      <c r="Y58">
        <v>0</v>
      </c>
      <c r="Z58">
        <v>54</v>
      </c>
      <c r="AA58" s="3">
        <f t="shared" si="27"/>
        <v>4.8957388939256576</v>
      </c>
      <c r="AB58">
        <v>55</v>
      </c>
      <c r="AC58" s="3">
        <f t="shared" si="28"/>
        <v>4.9864007252946507</v>
      </c>
      <c r="AD58">
        <v>55</v>
      </c>
      <c r="AE58" s="3">
        <f t="shared" si="29"/>
        <v>4.9864007252946507</v>
      </c>
      <c r="AF58">
        <v>538</v>
      </c>
      <c r="AG58" s="3">
        <f t="shared" si="30"/>
        <v>48.776065276518587</v>
      </c>
      <c r="AH58">
        <v>121</v>
      </c>
      <c r="AI58" s="3">
        <f t="shared" si="31"/>
        <v>10.970081595648232</v>
      </c>
      <c r="AJ58">
        <v>59</v>
      </c>
      <c r="AK58" s="3">
        <f t="shared" si="32"/>
        <v>5.3490480507706257</v>
      </c>
      <c r="AL58">
        <v>28</v>
      </c>
      <c r="AM58" s="3">
        <f t="shared" si="16"/>
        <v>2.5385312783318223</v>
      </c>
      <c r="AN58">
        <v>85</v>
      </c>
      <c r="AO58" s="3">
        <f t="shared" si="33"/>
        <v>7.7062556663644601</v>
      </c>
      <c r="AP58">
        <v>35</v>
      </c>
      <c r="AQ58" s="3">
        <f t="shared" si="34"/>
        <v>3.1731640979147779</v>
      </c>
      <c r="AR58">
        <v>24</v>
      </c>
      <c r="AS58" s="3">
        <f t="shared" si="35"/>
        <v>2.1758839528558478</v>
      </c>
      <c r="AT58" t="s">
        <v>209</v>
      </c>
      <c r="AV58"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272.18181818181813</v>
      </c>
      <c r="AW58" s="13">
        <f>2*(Дума_одномандатный[[#This Row],[Майданов Денис Васильевич]]-(AB$124/100)*Дума_одномандатный[[#This Row],[Число действительных избирательных бюллетеней]])</f>
        <v>359.28</v>
      </c>
      <c r="AX58" s="13">
        <f>(Дума_одномандатный[[#This Row],[Вброс]]+Дума_одномандатный[[#This Row],[Перекладывание]])/2</f>
        <v>315.73090909090905</v>
      </c>
      <c r="AY58" s="13" t="str">
        <f>Дума_партии[[#This Row],[Зона ответственности в сен. 2022 г.]]</f>
        <v>Одинцово КПРФ</v>
      </c>
    </row>
    <row r="59" spans="1:51" x14ac:dyDescent="0.4">
      <c r="A59" t="s">
        <v>49</v>
      </c>
      <c r="B59" t="s">
        <v>50</v>
      </c>
      <c r="C59" t="s">
        <v>51</v>
      </c>
      <c r="D59" t="s">
        <v>102</v>
      </c>
      <c r="E59" t="s">
        <v>160</v>
      </c>
      <c r="F59" s="1">
        <f t="shared" ca="1" si="21"/>
        <v>1799</v>
      </c>
      <c r="G59" s="1" t="str">
        <f>Дума_партии[[#This Row],[Местоположение]]</f>
        <v>Калининец</v>
      </c>
      <c r="H59">
        <v>2146</v>
      </c>
      <c r="I59" s="10">
        <f>Дума_одномандатный[[#This Row],[Число избирателей, внесенных в список избирателей на момент окончания голосования]]</f>
        <v>2146</v>
      </c>
      <c r="J59">
        <v>1900</v>
      </c>
      <c r="K59">
        <v>0</v>
      </c>
      <c r="L59">
        <v>1401</v>
      </c>
      <c r="M59">
        <v>9</v>
      </c>
      <c r="N59" s="3">
        <f t="shared" si="22"/>
        <v>65.70363466915191</v>
      </c>
      <c r="O59" s="3">
        <f t="shared" si="23"/>
        <v>0.41938490214352281</v>
      </c>
      <c r="P59">
        <v>490</v>
      </c>
      <c r="Q59">
        <v>9</v>
      </c>
      <c r="R59">
        <v>1401</v>
      </c>
      <c r="S59" s="1">
        <f t="shared" si="24"/>
        <v>1410</v>
      </c>
      <c r="T59" s="3">
        <f t="shared" si="25"/>
        <v>0.63829787234042556</v>
      </c>
      <c r="U59">
        <v>42</v>
      </c>
      <c r="V59" s="3">
        <f t="shared" si="26"/>
        <v>2.978723404255319</v>
      </c>
      <c r="W59">
        <v>1368</v>
      </c>
      <c r="X59">
        <v>0</v>
      </c>
      <c r="Y59">
        <v>0</v>
      </c>
      <c r="Z59">
        <v>105</v>
      </c>
      <c r="AA59" s="3">
        <f t="shared" si="27"/>
        <v>7.4468085106382977</v>
      </c>
      <c r="AB59">
        <v>85</v>
      </c>
      <c r="AC59" s="3">
        <f t="shared" si="28"/>
        <v>6.0283687943262407</v>
      </c>
      <c r="AD59">
        <v>83</v>
      </c>
      <c r="AE59" s="3">
        <f t="shared" si="29"/>
        <v>5.8865248226950353</v>
      </c>
      <c r="AF59">
        <v>607</v>
      </c>
      <c r="AG59" s="3">
        <f t="shared" si="30"/>
        <v>43.049645390070921</v>
      </c>
      <c r="AH59">
        <v>183</v>
      </c>
      <c r="AI59" s="3">
        <f t="shared" si="31"/>
        <v>12.978723404255319</v>
      </c>
      <c r="AJ59">
        <v>127</v>
      </c>
      <c r="AK59" s="3">
        <f t="shared" si="32"/>
        <v>9.0070921985815602</v>
      </c>
      <c r="AL59">
        <v>21</v>
      </c>
      <c r="AM59" s="3">
        <f t="shared" si="16"/>
        <v>1.4893617021276595</v>
      </c>
      <c r="AN59">
        <v>107</v>
      </c>
      <c r="AO59" s="3">
        <f t="shared" si="33"/>
        <v>7.5886524822695032</v>
      </c>
      <c r="AP59">
        <v>32</v>
      </c>
      <c r="AQ59" s="3">
        <f t="shared" si="34"/>
        <v>2.2695035460992909</v>
      </c>
      <c r="AR59">
        <v>18</v>
      </c>
      <c r="AS59" s="3">
        <f t="shared" si="35"/>
        <v>1.2765957446808511</v>
      </c>
      <c r="AT59" t="s">
        <v>209</v>
      </c>
      <c r="AV59"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214.96969696969688</v>
      </c>
      <c r="AW59" s="13">
        <f>2*(Дума_одномандатный[[#This Row],[Майданов Денис Васильевич]]-(AB$124/100)*Дума_одномандатный[[#This Row],[Число действительных избирательных бюллетеней]])</f>
        <v>283.75999999999988</v>
      </c>
      <c r="AX59" s="13">
        <f>(Дума_одномандатный[[#This Row],[Вброс]]+Дума_одномандатный[[#This Row],[Перекладывание]])/2</f>
        <v>249.36484848484838</v>
      </c>
      <c r="AY59" s="13" t="str">
        <f>Дума_партии[[#This Row],[Зона ответственности в сен. 2022 г.]]</f>
        <v>Одинцово КПРФ</v>
      </c>
    </row>
    <row r="60" spans="1:51" x14ac:dyDescent="0.4">
      <c r="A60" t="s">
        <v>49</v>
      </c>
      <c r="B60" t="s">
        <v>50</v>
      </c>
      <c r="C60" t="s">
        <v>51</v>
      </c>
      <c r="D60" t="s">
        <v>102</v>
      </c>
      <c r="E60" t="s">
        <v>161</v>
      </c>
      <c r="F60" s="1">
        <f t="shared" ca="1" si="21"/>
        <v>1800</v>
      </c>
      <c r="G60" s="1" t="str">
        <f>Дума_партии[[#This Row],[Местоположение]]</f>
        <v>Калининец</v>
      </c>
      <c r="H60">
        <v>1667</v>
      </c>
      <c r="I60" s="10">
        <f>Дума_одномандатный[[#This Row],[Число избирателей, внесенных в список избирателей на момент окончания голосования]]</f>
        <v>1667</v>
      </c>
      <c r="J60">
        <v>2200</v>
      </c>
      <c r="K60">
        <v>0</v>
      </c>
      <c r="L60">
        <v>1327</v>
      </c>
      <c r="M60">
        <v>10</v>
      </c>
      <c r="N60" s="3">
        <f t="shared" si="22"/>
        <v>80.203959208158366</v>
      </c>
      <c r="O60" s="3">
        <f t="shared" si="23"/>
        <v>0.59988002399520091</v>
      </c>
      <c r="P60">
        <v>863</v>
      </c>
      <c r="Q60">
        <v>10</v>
      </c>
      <c r="R60">
        <v>1327</v>
      </c>
      <c r="S60" s="1">
        <f t="shared" si="24"/>
        <v>1337</v>
      </c>
      <c r="T60" s="3">
        <f t="shared" si="25"/>
        <v>0.74794315632011965</v>
      </c>
      <c r="U60">
        <v>70</v>
      </c>
      <c r="V60" s="3">
        <f t="shared" si="26"/>
        <v>5.2356020942408374</v>
      </c>
      <c r="W60">
        <v>1267</v>
      </c>
      <c r="X60">
        <v>0</v>
      </c>
      <c r="Y60">
        <v>0</v>
      </c>
      <c r="Z60">
        <v>57</v>
      </c>
      <c r="AA60" s="3">
        <f t="shared" si="27"/>
        <v>4.263275991024682</v>
      </c>
      <c r="AB60">
        <v>63</v>
      </c>
      <c r="AC60" s="3">
        <f t="shared" si="28"/>
        <v>4.7120418848167542</v>
      </c>
      <c r="AD60">
        <v>59</v>
      </c>
      <c r="AE60" s="3">
        <f t="shared" si="29"/>
        <v>4.4128646222887058</v>
      </c>
      <c r="AF60">
        <v>670</v>
      </c>
      <c r="AG60" s="3">
        <f t="shared" si="30"/>
        <v>50.112191473448021</v>
      </c>
      <c r="AH60">
        <v>157</v>
      </c>
      <c r="AI60" s="3">
        <f t="shared" si="31"/>
        <v>11.742707554225879</v>
      </c>
      <c r="AJ60">
        <v>59</v>
      </c>
      <c r="AK60" s="3">
        <f t="shared" si="32"/>
        <v>4.4128646222887058</v>
      </c>
      <c r="AL60">
        <v>19</v>
      </c>
      <c r="AM60" s="3">
        <f t="shared" si="16"/>
        <v>1.4210919970082274</v>
      </c>
      <c r="AN60">
        <v>120</v>
      </c>
      <c r="AO60" s="3">
        <f t="shared" si="33"/>
        <v>8.9753178758414354</v>
      </c>
      <c r="AP60">
        <v>31</v>
      </c>
      <c r="AQ60" s="3">
        <f t="shared" si="34"/>
        <v>2.3186237845923712</v>
      </c>
      <c r="AR60">
        <v>32</v>
      </c>
      <c r="AS60" s="3">
        <f t="shared" si="35"/>
        <v>2.3934181002243831</v>
      </c>
      <c r="AT60" t="s">
        <v>209</v>
      </c>
      <c r="AV60"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362.45454545454538</v>
      </c>
      <c r="AW60" s="13">
        <f>2*(Дума_одномандатный[[#This Row],[Майданов Денис Васильевич]]-(AB$124/100)*Дума_одномандатный[[#This Row],[Число действительных избирательных бюллетеней]])</f>
        <v>478.43999999999994</v>
      </c>
      <c r="AX60" s="13">
        <f>(Дума_одномандатный[[#This Row],[Вброс]]+Дума_одномандатный[[#This Row],[Перекладывание]])/2</f>
        <v>420.44727272727266</v>
      </c>
      <c r="AY60" s="13" t="str">
        <f>Дума_партии[[#This Row],[Зона ответственности в сен. 2022 г.]]</f>
        <v>Одинцово КПРФ</v>
      </c>
    </row>
    <row r="61" spans="1:51" x14ac:dyDescent="0.4">
      <c r="A61" t="s">
        <v>49</v>
      </c>
      <c r="B61" t="s">
        <v>50</v>
      </c>
      <c r="C61" t="s">
        <v>51</v>
      </c>
      <c r="D61" t="s">
        <v>102</v>
      </c>
      <c r="E61" t="s">
        <v>162</v>
      </c>
      <c r="F61" s="1">
        <f t="shared" ca="1" si="21"/>
        <v>1801</v>
      </c>
      <c r="G61" s="1" t="str">
        <f>Дума_партии[[#This Row],[Местоположение]]</f>
        <v>Петровское</v>
      </c>
      <c r="H61">
        <v>1419</v>
      </c>
      <c r="I61" s="10">
        <f>Дума_одномандатный[[#This Row],[Число избирателей, внесенных в список избирателей на момент окончания голосования]]</f>
        <v>1419</v>
      </c>
      <c r="J61">
        <v>1200</v>
      </c>
      <c r="K61">
        <v>0</v>
      </c>
      <c r="L61">
        <v>444</v>
      </c>
      <c r="M61">
        <v>21</v>
      </c>
      <c r="N61" s="3">
        <f t="shared" si="22"/>
        <v>32.76955602536998</v>
      </c>
      <c r="O61" s="3">
        <f t="shared" si="23"/>
        <v>1.4799154334038056</v>
      </c>
      <c r="P61">
        <v>735</v>
      </c>
      <c r="Q61">
        <v>21</v>
      </c>
      <c r="R61">
        <v>444</v>
      </c>
      <c r="S61" s="1">
        <f t="shared" si="24"/>
        <v>465</v>
      </c>
      <c r="T61" s="3">
        <f t="shared" si="25"/>
        <v>4.5161290322580649</v>
      </c>
      <c r="U61">
        <v>40</v>
      </c>
      <c r="V61" s="3">
        <f t="shared" si="26"/>
        <v>8.6021505376344081</v>
      </c>
      <c r="W61">
        <v>425</v>
      </c>
      <c r="X61">
        <v>0</v>
      </c>
      <c r="Y61">
        <v>0</v>
      </c>
      <c r="Z61">
        <v>20</v>
      </c>
      <c r="AA61" s="3">
        <f t="shared" si="27"/>
        <v>4.301075268817204</v>
      </c>
      <c r="AB61">
        <v>12</v>
      </c>
      <c r="AC61" s="3">
        <f t="shared" si="28"/>
        <v>2.5806451612903225</v>
      </c>
      <c r="AD61">
        <v>42</v>
      </c>
      <c r="AE61" s="3">
        <f t="shared" si="29"/>
        <v>9.0322580645161299</v>
      </c>
      <c r="AF61">
        <v>193</v>
      </c>
      <c r="AG61" s="3">
        <f t="shared" si="30"/>
        <v>41.505376344086024</v>
      </c>
      <c r="AH61">
        <v>33</v>
      </c>
      <c r="AI61" s="3">
        <f t="shared" si="31"/>
        <v>7.096774193548387</v>
      </c>
      <c r="AJ61">
        <v>33</v>
      </c>
      <c r="AK61" s="3">
        <f t="shared" si="32"/>
        <v>7.096774193548387</v>
      </c>
      <c r="AL61">
        <v>9</v>
      </c>
      <c r="AM61" s="3">
        <f t="shared" si="16"/>
        <v>1.935483870967742</v>
      </c>
      <c r="AN61">
        <v>61</v>
      </c>
      <c r="AO61" s="3">
        <f t="shared" si="33"/>
        <v>13.118279569892474</v>
      </c>
      <c r="AP61">
        <v>12</v>
      </c>
      <c r="AQ61" s="3">
        <f t="shared" si="34"/>
        <v>2.5806451612903225</v>
      </c>
      <c r="AR61">
        <v>10</v>
      </c>
      <c r="AS61" s="3">
        <f t="shared" si="35"/>
        <v>2.150537634408602</v>
      </c>
      <c r="AT61" t="s">
        <v>209</v>
      </c>
      <c r="AV61"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73.484848484848456</v>
      </c>
      <c r="AW61" s="13">
        <f>2*(Дума_одномандатный[[#This Row],[Майданов Денис Васильевич]]-(AB$124/100)*Дума_одномандатный[[#This Row],[Число действительных избирательных бюллетеней]])</f>
        <v>97</v>
      </c>
      <c r="AX61" s="13">
        <f>(Дума_одномандатный[[#This Row],[Вброс]]+Дума_одномандатный[[#This Row],[Перекладывание]])/2</f>
        <v>85.242424242424221</v>
      </c>
      <c r="AY61" s="13" t="str">
        <f>Дума_партии[[#This Row],[Зона ответственности в сен. 2022 г.]]</f>
        <v>Одинцово КПРФ</v>
      </c>
    </row>
    <row r="62" spans="1:51" x14ac:dyDescent="0.4">
      <c r="A62" t="s">
        <v>49</v>
      </c>
      <c r="B62" t="s">
        <v>50</v>
      </c>
      <c r="C62" t="s">
        <v>51</v>
      </c>
      <c r="D62" t="s">
        <v>102</v>
      </c>
      <c r="E62" t="s">
        <v>163</v>
      </c>
      <c r="F62" s="1">
        <f t="shared" ca="1" si="21"/>
        <v>1802</v>
      </c>
      <c r="G62" s="1" t="str">
        <f>Дума_партии[[#This Row],[Местоположение]]</f>
        <v>Калининец</v>
      </c>
      <c r="H62">
        <v>1106</v>
      </c>
      <c r="I62" s="10">
        <f>Дума_одномандатный[[#This Row],[Число избирателей, внесенных в список избирателей на момент окончания голосования]]</f>
        <v>1106</v>
      </c>
      <c r="J62">
        <v>1100</v>
      </c>
      <c r="K62">
        <v>0</v>
      </c>
      <c r="L62">
        <v>326</v>
      </c>
      <c r="M62">
        <v>64</v>
      </c>
      <c r="N62" s="3">
        <f t="shared" si="22"/>
        <v>35.262206148282097</v>
      </c>
      <c r="O62" s="3">
        <f t="shared" si="23"/>
        <v>5.786618444846293</v>
      </c>
      <c r="P62">
        <v>710</v>
      </c>
      <c r="Q62">
        <v>64</v>
      </c>
      <c r="R62">
        <v>326</v>
      </c>
      <c r="S62" s="1">
        <f t="shared" si="24"/>
        <v>390</v>
      </c>
      <c r="T62" s="3">
        <f t="shared" si="25"/>
        <v>16.410256410256409</v>
      </c>
      <c r="U62">
        <v>40</v>
      </c>
      <c r="V62" s="3">
        <f t="shared" si="26"/>
        <v>10.256410256410257</v>
      </c>
      <c r="W62">
        <v>350</v>
      </c>
      <c r="X62">
        <v>0</v>
      </c>
      <c r="Y62">
        <v>0</v>
      </c>
      <c r="Z62">
        <v>13</v>
      </c>
      <c r="AA62" s="3">
        <f t="shared" si="27"/>
        <v>3.3333333333333335</v>
      </c>
      <c r="AB62">
        <v>35</v>
      </c>
      <c r="AC62" s="3">
        <f t="shared" si="28"/>
        <v>8.9743589743589745</v>
      </c>
      <c r="AD62">
        <v>23</v>
      </c>
      <c r="AE62" s="3">
        <f t="shared" si="29"/>
        <v>5.8974358974358978</v>
      </c>
      <c r="AF62">
        <v>101</v>
      </c>
      <c r="AG62" s="3">
        <f t="shared" si="30"/>
        <v>25.897435897435898</v>
      </c>
      <c r="AH62">
        <v>47</v>
      </c>
      <c r="AI62" s="3">
        <f t="shared" si="31"/>
        <v>12.051282051282051</v>
      </c>
      <c r="AJ62">
        <v>45</v>
      </c>
      <c r="AK62" s="3">
        <f t="shared" si="32"/>
        <v>11.538461538461538</v>
      </c>
      <c r="AL62">
        <v>5</v>
      </c>
      <c r="AM62" s="3">
        <f t="shared" si="16"/>
        <v>1.2820512820512822</v>
      </c>
      <c r="AN62">
        <v>62</v>
      </c>
      <c r="AO62" s="3">
        <f t="shared" si="33"/>
        <v>15.897435897435898</v>
      </c>
      <c r="AP62">
        <v>10</v>
      </c>
      <c r="AQ62" s="3">
        <f t="shared" si="34"/>
        <v>2.5641025641025643</v>
      </c>
      <c r="AR62">
        <v>9</v>
      </c>
      <c r="AS62" s="3">
        <f t="shared" si="35"/>
        <v>2.3076923076923075</v>
      </c>
      <c r="AT62" t="s">
        <v>209</v>
      </c>
      <c r="AV62"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-27.272727272727309</v>
      </c>
      <c r="AW62" s="13">
        <f>2*(Дума_одномандатный[[#This Row],[Майданов Денис Васильевич]]-(AB$124/100)*Дума_одномандатный[[#This Row],[Число действительных избирательных бюллетеней]])</f>
        <v>-36.000000000000028</v>
      </c>
      <c r="AX62" s="13">
        <f>(Дума_одномандатный[[#This Row],[Вброс]]+Дума_одномандатный[[#This Row],[Перекладывание]])/2</f>
        <v>-31.636363636363669</v>
      </c>
      <c r="AY62" s="13" t="str">
        <f>Дума_партии[[#This Row],[Зона ответственности в сен. 2022 г.]]</f>
        <v>Одинцово КПРФ</v>
      </c>
    </row>
    <row r="63" spans="1:51" x14ac:dyDescent="0.4">
      <c r="A63" t="s">
        <v>49</v>
      </c>
      <c r="B63" t="s">
        <v>50</v>
      </c>
      <c r="C63" t="s">
        <v>51</v>
      </c>
      <c r="D63" t="s">
        <v>102</v>
      </c>
      <c r="E63" t="s">
        <v>164</v>
      </c>
      <c r="F63" s="1">
        <f t="shared" ca="1" si="21"/>
        <v>1803</v>
      </c>
      <c r="G63" s="1" t="str">
        <f>Дума_партии[[#This Row],[Местоположение]]</f>
        <v>Калининец</v>
      </c>
      <c r="H63">
        <v>657</v>
      </c>
      <c r="I63" s="10">
        <f>Дума_одномандатный[[#This Row],[Число избирателей, внесенных в список избирателей на момент окончания голосования]]</f>
        <v>657</v>
      </c>
      <c r="J63">
        <v>1100</v>
      </c>
      <c r="K63">
        <v>0</v>
      </c>
      <c r="L63">
        <v>653</v>
      </c>
      <c r="M63">
        <v>4</v>
      </c>
      <c r="N63" s="3">
        <f t="shared" si="22"/>
        <v>100</v>
      </c>
      <c r="O63" s="3">
        <f t="shared" si="23"/>
        <v>0.60882800608828003</v>
      </c>
      <c r="P63">
        <v>443</v>
      </c>
      <c r="Q63">
        <v>4</v>
      </c>
      <c r="R63">
        <v>653</v>
      </c>
      <c r="S63" s="1">
        <f t="shared" si="24"/>
        <v>657</v>
      </c>
      <c r="T63" s="3">
        <f t="shared" si="25"/>
        <v>0.60882800608828003</v>
      </c>
      <c r="U63">
        <v>51</v>
      </c>
      <c r="V63" s="3">
        <f t="shared" si="26"/>
        <v>7.762557077625571</v>
      </c>
      <c r="W63">
        <v>606</v>
      </c>
      <c r="X63">
        <v>0</v>
      </c>
      <c r="Y63">
        <v>0</v>
      </c>
      <c r="Z63">
        <v>12</v>
      </c>
      <c r="AA63" s="3">
        <f t="shared" si="27"/>
        <v>1.8264840182648401</v>
      </c>
      <c r="AB63">
        <v>22</v>
      </c>
      <c r="AC63" s="3">
        <f t="shared" si="28"/>
        <v>3.3485540334855401</v>
      </c>
      <c r="AD63">
        <v>26</v>
      </c>
      <c r="AE63" s="3">
        <f t="shared" si="29"/>
        <v>3.9573820395738202</v>
      </c>
      <c r="AF63">
        <v>385</v>
      </c>
      <c r="AG63" s="3">
        <f t="shared" si="30"/>
        <v>58.599695585996955</v>
      </c>
      <c r="AH63">
        <v>25</v>
      </c>
      <c r="AI63" s="3">
        <f t="shared" si="31"/>
        <v>3.8051750380517504</v>
      </c>
      <c r="AJ63">
        <v>37</v>
      </c>
      <c r="AK63" s="3">
        <f t="shared" si="32"/>
        <v>5.6316590563165905</v>
      </c>
      <c r="AL63">
        <v>7</v>
      </c>
      <c r="AM63" s="3">
        <f t="shared" si="16"/>
        <v>1.06544901065449</v>
      </c>
      <c r="AN63">
        <v>61</v>
      </c>
      <c r="AO63" s="3">
        <f t="shared" si="33"/>
        <v>9.2846270928462715</v>
      </c>
      <c r="AP63">
        <v>17</v>
      </c>
      <c r="AQ63" s="3">
        <f t="shared" si="34"/>
        <v>2.5875190258751903</v>
      </c>
      <c r="AR63">
        <v>14</v>
      </c>
      <c r="AS63" s="3">
        <f t="shared" si="35"/>
        <v>2.1308980213089801</v>
      </c>
      <c r="AT63" t="s">
        <v>209</v>
      </c>
      <c r="AV63"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271.15151515151513</v>
      </c>
      <c r="AW63" s="13">
        <f>2*(Дума_одномандатный[[#This Row],[Майданов Денис Васильевич]]-(AB$124/100)*Дума_одномандатный[[#This Row],[Число действительных избирательных бюллетеней]])</f>
        <v>357.91999999999996</v>
      </c>
      <c r="AX63" s="13">
        <f>(Дума_одномандатный[[#This Row],[Вброс]]+Дума_одномандатный[[#This Row],[Перекладывание]])/2</f>
        <v>314.53575757575754</v>
      </c>
      <c r="AY63" s="13" t="str">
        <f>Дума_партии[[#This Row],[Зона ответственности в сен. 2022 г.]]</f>
        <v>Одинцово КПРФ</v>
      </c>
    </row>
    <row r="64" spans="1:51" x14ac:dyDescent="0.4">
      <c r="A64" t="s">
        <v>49</v>
      </c>
      <c r="B64" t="s">
        <v>50</v>
      </c>
      <c r="C64" t="s">
        <v>51</v>
      </c>
      <c r="D64" t="s">
        <v>102</v>
      </c>
      <c r="E64" t="s">
        <v>165</v>
      </c>
      <c r="F64" s="1">
        <f t="shared" ca="1" si="21"/>
        <v>1804</v>
      </c>
      <c r="G64" s="1" t="str">
        <f>Дума_партии[[#This Row],[Местоположение]]</f>
        <v>Селятино</v>
      </c>
      <c r="H64">
        <v>1421</v>
      </c>
      <c r="I64" s="10">
        <f>Дума_одномандатный[[#This Row],[Число избирателей, внесенных в список избирателей на момент окончания голосования]]</f>
        <v>1421</v>
      </c>
      <c r="J64">
        <v>1300</v>
      </c>
      <c r="K64">
        <v>0</v>
      </c>
      <c r="L64">
        <v>491</v>
      </c>
      <c r="M64">
        <v>14</v>
      </c>
      <c r="N64" s="3">
        <f t="shared" si="22"/>
        <v>35.538353272343421</v>
      </c>
      <c r="O64" s="3">
        <f t="shared" si="23"/>
        <v>0.98522167487684731</v>
      </c>
      <c r="P64">
        <v>795</v>
      </c>
      <c r="Q64">
        <v>14</v>
      </c>
      <c r="R64">
        <v>491</v>
      </c>
      <c r="S64" s="1">
        <f t="shared" si="24"/>
        <v>505</v>
      </c>
      <c r="T64" s="3">
        <f t="shared" si="25"/>
        <v>2.7722772277227721</v>
      </c>
      <c r="U64">
        <v>43</v>
      </c>
      <c r="V64" s="3">
        <f t="shared" si="26"/>
        <v>8.5148514851485153</v>
      </c>
      <c r="W64">
        <v>462</v>
      </c>
      <c r="X64">
        <v>0</v>
      </c>
      <c r="Y64">
        <v>0</v>
      </c>
      <c r="Z64">
        <v>25</v>
      </c>
      <c r="AA64" s="3">
        <f t="shared" si="27"/>
        <v>4.9504950495049505</v>
      </c>
      <c r="AB64">
        <v>27</v>
      </c>
      <c r="AC64" s="3">
        <f t="shared" si="28"/>
        <v>5.3465346534653468</v>
      </c>
      <c r="AD64">
        <v>32</v>
      </c>
      <c r="AE64" s="3">
        <f t="shared" si="29"/>
        <v>6.3366336633663369</v>
      </c>
      <c r="AF64">
        <v>128</v>
      </c>
      <c r="AG64" s="3">
        <f t="shared" si="30"/>
        <v>25.346534653465348</v>
      </c>
      <c r="AH64">
        <v>46</v>
      </c>
      <c r="AI64" s="3">
        <f t="shared" si="31"/>
        <v>9.1089108910891081</v>
      </c>
      <c r="AJ64">
        <v>36</v>
      </c>
      <c r="AK64" s="3">
        <f t="shared" si="32"/>
        <v>7.1287128712871288</v>
      </c>
      <c r="AL64">
        <v>6</v>
      </c>
      <c r="AM64" s="3">
        <f t="shared" si="16"/>
        <v>1.1881188118811881</v>
      </c>
      <c r="AN64">
        <v>125</v>
      </c>
      <c r="AO64" s="3">
        <f t="shared" si="33"/>
        <v>24.752475247524753</v>
      </c>
      <c r="AP64">
        <v>22</v>
      </c>
      <c r="AQ64" s="3">
        <f t="shared" si="34"/>
        <v>4.3564356435643568</v>
      </c>
      <c r="AR64">
        <v>15</v>
      </c>
      <c r="AS64" s="3">
        <f t="shared" si="35"/>
        <v>2.9702970297029703</v>
      </c>
      <c r="AT64" t="s">
        <v>209</v>
      </c>
      <c r="AV64"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-44.060606060606091</v>
      </c>
      <c r="AW64" s="13">
        <f>2*(Дума_одномандатный[[#This Row],[Майданов Денис Васильевич]]-(AB$124/100)*Дума_одномандатный[[#This Row],[Число действительных избирательных бюллетеней]])</f>
        <v>-58.160000000000025</v>
      </c>
      <c r="AX64" s="13">
        <f>(Дума_одномандатный[[#This Row],[Вброс]]+Дума_одномандатный[[#This Row],[Перекладывание]])/2</f>
        <v>-51.110303030303058</v>
      </c>
      <c r="AY64" s="13" t="str">
        <f>Дума_партии[[#This Row],[Зона ответственности в сен. 2022 г.]]</f>
        <v>Одинцово КПРФ</v>
      </c>
    </row>
    <row r="65" spans="1:51" x14ac:dyDescent="0.4">
      <c r="A65" t="s">
        <v>49</v>
      </c>
      <c r="B65" t="s">
        <v>50</v>
      </c>
      <c r="C65" t="s">
        <v>51</v>
      </c>
      <c r="D65" t="s">
        <v>102</v>
      </c>
      <c r="E65" t="s">
        <v>166</v>
      </c>
      <c r="F65" s="1">
        <f t="shared" ca="1" si="21"/>
        <v>1805</v>
      </c>
      <c r="G65" s="1" t="str">
        <f>Дума_партии[[#This Row],[Местоположение]]</f>
        <v>Селятино</v>
      </c>
      <c r="H65">
        <v>1062</v>
      </c>
      <c r="I65" s="10">
        <f>Дума_одномандатный[[#This Row],[Число избирателей, внесенных в список избирателей на момент окончания голосования]]</f>
        <v>1062</v>
      </c>
      <c r="J65">
        <v>1000</v>
      </c>
      <c r="K65">
        <v>0</v>
      </c>
      <c r="L65">
        <v>377</v>
      </c>
      <c r="M65">
        <v>13</v>
      </c>
      <c r="N65" s="3">
        <f t="shared" si="22"/>
        <v>36.72316384180791</v>
      </c>
      <c r="O65" s="3">
        <f t="shared" si="23"/>
        <v>1.2241054613935969</v>
      </c>
      <c r="P65">
        <v>610</v>
      </c>
      <c r="Q65">
        <v>13</v>
      </c>
      <c r="R65">
        <v>377</v>
      </c>
      <c r="S65" s="1">
        <f t="shared" si="24"/>
        <v>390</v>
      </c>
      <c r="T65" s="3">
        <f t="shared" si="25"/>
        <v>3.3333333333333335</v>
      </c>
      <c r="U65">
        <v>35</v>
      </c>
      <c r="V65" s="3">
        <f t="shared" si="26"/>
        <v>8.9743589743589745</v>
      </c>
      <c r="W65">
        <v>355</v>
      </c>
      <c r="X65">
        <v>0</v>
      </c>
      <c r="Y65">
        <v>0</v>
      </c>
      <c r="Z65">
        <v>13</v>
      </c>
      <c r="AA65" s="3">
        <f t="shared" si="27"/>
        <v>3.3333333333333335</v>
      </c>
      <c r="AB65">
        <v>29</v>
      </c>
      <c r="AC65" s="3">
        <f t="shared" si="28"/>
        <v>7.4358974358974361</v>
      </c>
      <c r="AD65">
        <v>29</v>
      </c>
      <c r="AE65" s="3">
        <f t="shared" si="29"/>
        <v>7.4358974358974361</v>
      </c>
      <c r="AF65">
        <v>100</v>
      </c>
      <c r="AG65" s="3">
        <f t="shared" si="30"/>
        <v>25.641025641025642</v>
      </c>
      <c r="AH65">
        <v>30</v>
      </c>
      <c r="AI65" s="3">
        <f t="shared" si="31"/>
        <v>7.6923076923076925</v>
      </c>
      <c r="AJ65">
        <v>36</v>
      </c>
      <c r="AK65" s="3">
        <f t="shared" si="32"/>
        <v>9.2307692307692299</v>
      </c>
      <c r="AL65">
        <v>4</v>
      </c>
      <c r="AM65" s="3">
        <f t="shared" si="16"/>
        <v>1.0256410256410255</v>
      </c>
      <c r="AN65">
        <v>89</v>
      </c>
      <c r="AO65" s="3">
        <f t="shared" si="33"/>
        <v>22.820512820512821</v>
      </c>
      <c r="AP65">
        <v>19</v>
      </c>
      <c r="AQ65" s="3">
        <f t="shared" si="34"/>
        <v>4.8717948717948714</v>
      </c>
      <c r="AR65">
        <v>6</v>
      </c>
      <c r="AS65" s="3">
        <f t="shared" si="35"/>
        <v>1.5384615384615385</v>
      </c>
      <c r="AT65" t="s">
        <v>209</v>
      </c>
      <c r="AV65"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-31.363636363636402</v>
      </c>
      <c r="AW65" s="13">
        <f>2*(Дума_одномандатный[[#This Row],[Майданов Денис Васильевич]]-(AB$124/100)*Дума_одномандатный[[#This Row],[Число действительных избирательных бюллетеней]])</f>
        <v>-41.400000000000006</v>
      </c>
      <c r="AX65" s="13">
        <f>(Дума_одномандатный[[#This Row],[Вброс]]+Дума_одномандатный[[#This Row],[Перекладывание]])/2</f>
        <v>-36.381818181818204</v>
      </c>
      <c r="AY65" s="13" t="str">
        <f>Дума_партии[[#This Row],[Зона ответственности в сен. 2022 г.]]</f>
        <v>Одинцово КПРФ</v>
      </c>
    </row>
    <row r="66" spans="1:51" x14ac:dyDescent="0.4">
      <c r="A66" t="s">
        <v>49</v>
      </c>
      <c r="B66" t="s">
        <v>50</v>
      </c>
      <c r="C66" t="s">
        <v>51</v>
      </c>
      <c r="D66" t="s">
        <v>102</v>
      </c>
      <c r="E66" t="s">
        <v>167</v>
      </c>
      <c r="F66" s="1">
        <f t="shared" ca="1" si="21"/>
        <v>1806</v>
      </c>
      <c r="G66" s="1" t="str">
        <f>Дума_партии[[#This Row],[Местоположение]]</f>
        <v>Селятино</v>
      </c>
      <c r="H66">
        <v>1401</v>
      </c>
      <c r="I66" s="10">
        <f>Дума_одномандатный[[#This Row],[Число избирателей, внесенных в список избирателей на момент окончания голосования]]</f>
        <v>1401</v>
      </c>
      <c r="J66">
        <v>1400</v>
      </c>
      <c r="K66">
        <v>0</v>
      </c>
      <c r="L66">
        <v>491</v>
      </c>
      <c r="M66">
        <v>4</v>
      </c>
      <c r="N66" s="3">
        <f t="shared" si="22"/>
        <v>35.331905781584581</v>
      </c>
      <c r="O66" s="3">
        <f t="shared" si="23"/>
        <v>0.28551034975017847</v>
      </c>
      <c r="P66">
        <v>905</v>
      </c>
      <c r="Q66">
        <v>4</v>
      </c>
      <c r="R66">
        <v>491</v>
      </c>
      <c r="S66" s="1">
        <f t="shared" si="24"/>
        <v>495</v>
      </c>
      <c r="T66" s="3">
        <f t="shared" si="25"/>
        <v>0.80808080808080807</v>
      </c>
      <c r="U66">
        <v>32</v>
      </c>
      <c r="V66" s="3">
        <f t="shared" si="26"/>
        <v>6.4646464646464645</v>
      </c>
      <c r="W66">
        <v>463</v>
      </c>
      <c r="X66">
        <v>0</v>
      </c>
      <c r="Y66">
        <v>0</v>
      </c>
      <c r="Z66">
        <v>23</v>
      </c>
      <c r="AA66" s="3">
        <f t="shared" si="27"/>
        <v>4.6464646464646462</v>
      </c>
      <c r="AB66">
        <v>29</v>
      </c>
      <c r="AC66" s="3">
        <f t="shared" si="28"/>
        <v>5.858585858585859</v>
      </c>
      <c r="AD66">
        <v>29</v>
      </c>
      <c r="AE66" s="3">
        <f t="shared" si="29"/>
        <v>5.858585858585859</v>
      </c>
      <c r="AF66">
        <v>154</v>
      </c>
      <c r="AG66" s="3">
        <f t="shared" si="30"/>
        <v>31.111111111111111</v>
      </c>
      <c r="AH66">
        <v>42</v>
      </c>
      <c r="AI66" s="3">
        <f t="shared" si="31"/>
        <v>8.4848484848484844</v>
      </c>
      <c r="AJ66">
        <v>49</v>
      </c>
      <c r="AK66" s="3">
        <f t="shared" si="32"/>
        <v>9.8989898989898997</v>
      </c>
      <c r="AL66">
        <v>10</v>
      </c>
      <c r="AM66" s="3">
        <f t="shared" ref="AM66:AM97" si="36">100*AL66/$S66</f>
        <v>2.0202020202020203</v>
      </c>
      <c r="AN66">
        <v>103</v>
      </c>
      <c r="AO66" s="3">
        <f t="shared" si="33"/>
        <v>20.80808080808081</v>
      </c>
      <c r="AP66">
        <v>17</v>
      </c>
      <c r="AQ66" s="3">
        <f t="shared" si="34"/>
        <v>3.4343434343434343</v>
      </c>
      <c r="AR66">
        <v>7</v>
      </c>
      <c r="AS66" s="3">
        <f t="shared" si="35"/>
        <v>1.4141414141414141</v>
      </c>
      <c r="AT66" t="s">
        <v>209</v>
      </c>
      <c r="AV66"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-5.1818181818182154</v>
      </c>
      <c r="AW66" s="13">
        <f>2*(Дума_одномандатный[[#This Row],[Майданов Денис Васильевич]]-(AB$124/100)*Дума_одномандатный[[#This Row],[Число действительных избирательных бюллетеней]])</f>
        <v>-6.8400000000000318</v>
      </c>
      <c r="AX66" s="13">
        <f>(Дума_одномандатный[[#This Row],[Вброс]]+Дума_одномандатный[[#This Row],[Перекладывание]])/2</f>
        <v>-6.0109090909091236</v>
      </c>
      <c r="AY66" s="13" t="str">
        <f>Дума_партии[[#This Row],[Зона ответственности в сен. 2022 г.]]</f>
        <v>Одинцово КПРФ</v>
      </c>
    </row>
    <row r="67" spans="1:51" x14ac:dyDescent="0.4">
      <c r="A67" t="s">
        <v>49</v>
      </c>
      <c r="B67" t="s">
        <v>50</v>
      </c>
      <c r="C67" t="s">
        <v>51</v>
      </c>
      <c r="D67" t="s">
        <v>102</v>
      </c>
      <c r="E67" t="s">
        <v>168</v>
      </c>
      <c r="F67" s="1">
        <f t="shared" ca="1" si="21"/>
        <v>1807</v>
      </c>
      <c r="G67" s="1" t="str">
        <f>Дума_партии[[#This Row],[Местоположение]]</f>
        <v>Селятино</v>
      </c>
      <c r="H67">
        <v>1112</v>
      </c>
      <c r="I67" s="10">
        <f>Дума_одномандатный[[#This Row],[Число избирателей, внесенных в список избирателей на момент окончания голосования]]</f>
        <v>1112</v>
      </c>
      <c r="J67">
        <v>1000</v>
      </c>
      <c r="K67">
        <v>0</v>
      </c>
      <c r="L67">
        <v>433</v>
      </c>
      <c r="M67">
        <v>4</v>
      </c>
      <c r="N67" s="3">
        <f t="shared" si="22"/>
        <v>39.298561151079134</v>
      </c>
      <c r="O67" s="3">
        <f t="shared" si="23"/>
        <v>0.35971223021582732</v>
      </c>
      <c r="P67">
        <v>563</v>
      </c>
      <c r="Q67">
        <v>4</v>
      </c>
      <c r="R67">
        <v>433</v>
      </c>
      <c r="S67" s="1">
        <f t="shared" si="24"/>
        <v>437</v>
      </c>
      <c r="T67" s="3">
        <f t="shared" si="25"/>
        <v>0.91533180778032042</v>
      </c>
      <c r="U67">
        <v>26</v>
      </c>
      <c r="V67" s="3">
        <f t="shared" si="26"/>
        <v>5.9496567505720828</v>
      </c>
      <c r="W67">
        <v>411</v>
      </c>
      <c r="X67">
        <v>0</v>
      </c>
      <c r="Y67">
        <v>0</v>
      </c>
      <c r="Z67">
        <v>17</v>
      </c>
      <c r="AA67" s="3">
        <f t="shared" si="27"/>
        <v>3.8901601830663615</v>
      </c>
      <c r="AB67">
        <v>27</v>
      </c>
      <c r="AC67" s="3">
        <f t="shared" si="28"/>
        <v>6.1784897025171626</v>
      </c>
      <c r="AD67">
        <v>46</v>
      </c>
      <c r="AE67" s="3">
        <f t="shared" si="29"/>
        <v>10.526315789473685</v>
      </c>
      <c r="AF67">
        <v>123</v>
      </c>
      <c r="AG67" s="3">
        <f t="shared" si="30"/>
        <v>28.146453089244851</v>
      </c>
      <c r="AH67">
        <v>36</v>
      </c>
      <c r="AI67" s="3">
        <f t="shared" si="31"/>
        <v>8.2379862700228834</v>
      </c>
      <c r="AJ67">
        <v>32</v>
      </c>
      <c r="AK67" s="3">
        <f t="shared" si="32"/>
        <v>7.3226544622425633</v>
      </c>
      <c r="AL67">
        <v>16</v>
      </c>
      <c r="AM67" s="3">
        <f t="shared" si="36"/>
        <v>3.6613272311212817</v>
      </c>
      <c r="AN67">
        <v>88</v>
      </c>
      <c r="AO67" s="3">
        <f t="shared" si="33"/>
        <v>20.137299771167047</v>
      </c>
      <c r="AP67">
        <v>13</v>
      </c>
      <c r="AQ67" s="3">
        <f t="shared" si="34"/>
        <v>2.9748283752860414</v>
      </c>
      <c r="AR67">
        <v>13</v>
      </c>
      <c r="AS67" s="3">
        <f t="shared" si="35"/>
        <v>2.9748283752860414</v>
      </c>
      <c r="AT67" t="s">
        <v>209</v>
      </c>
      <c r="AV67"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-25.363636363636402</v>
      </c>
      <c r="AW67" s="13">
        <f>2*(Дума_одномандатный[[#This Row],[Майданов Денис Васильевич]]-(AB$124/100)*Дума_одномандатный[[#This Row],[Число действительных избирательных бюллетеней]])</f>
        <v>-33.480000000000018</v>
      </c>
      <c r="AX67" s="13">
        <f>(Дума_одномандатный[[#This Row],[Вброс]]+Дума_одномандатный[[#This Row],[Перекладывание]])/2</f>
        <v>-29.42181818181821</v>
      </c>
      <c r="AY67" s="13" t="str">
        <f>Дума_партии[[#This Row],[Зона ответственности в сен. 2022 г.]]</f>
        <v>Одинцово КПРФ</v>
      </c>
    </row>
    <row r="68" spans="1:51" x14ac:dyDescent="0.4">
      <c r="A68" t="s">
        <v>49</v>
      </c>
      <c r="B68" t="s">
        <v>50</v>
      </c>
      <c r="C68" t="s">
        <v>51</v>
      </c>
      <c r="D68" t="s">
        <v>102</v>
      </c>
      <c r="E68" t="s">
        <v>169</v>
      </c>
      <c r="F68" s="1">
        <f t="shared" ca="1" si="21"/>
        <v>1808</v>
      </c>
      <c r="G68" s="1" t="str">
        <f>Дума_партии[[#This Row],[Местоположение]]</f>
        <v>Селятино</v>
      </c>
      <c r="H68">
        <v>1246</v>
      </c>
      <c r="I68" s="10">
        <f>Дума_одномандатный[[#This Row],[Число избирателей, внесенных в список избирателей на момент окончания голосования]]</f>
        <v>1246</v>
      </c>
      <c r="J68">
        <v>1200</v>
      </c>
      <c r="K68">
        <v>0</v>
      </c>
      <c r="L68">
        <v>459</v>
      </c>
      <c r="M68">
        <v>11</v>
      </c>
      <c r="N68" s="3">
        <f t="shared" si="22"/>
        <v>37.720706260032102</v>
      </c>
      <c r="O68" s="3">
        <f t="shared" si="23"/>
        <v>0.8828250401284109</v>
      </c>
      <c r="P68">
        <v>730</v>
      </c>
      <c r="Q68">
        <v>11</v>
      </c>
      <c r="R68">
        <v>459</v>
      </c>
      <c r="S68" s="1">
        <f t="shared" si="24"/>
        <v>470</v>
      </c>
      <c r="T68" s="3">
        <f t="shared" si="25"/>
        <v>2.3404255319148937</v>
      </c>
      <c r="U68">
        <v>24</v>
      </c>
      <c r="V68" s="3">
        <f t="shared" si="26"/>
        <v>5.1063829787234045</v>
      </c>
      <c r="W68">
        <v>446</v>
      </c>
      <c r="X68">
        <v>0</v>
      </c>
      <c r="Y68">
        <v>0</v>
      </c>
      <c r="Z68">
        <v>37</v>
      </c>
      <c r="AA68" s="3">
        <f t="shared" si="27"/>
        <v>7.8723404255319149</v>
      </c>
      <c r="AB68">
        <v>30</v>
      </c>
      <c r="AC68" s="3">
        <f t="shared" si="28"/>
        <v>6.3829787234042552</v>
      </c>
      <c r="AD68">
        <v>29</v>
      </c>
      <c r="AE68" s="3">
        <f t="shared" si="29"/>
        <v>6.1702127659574471</v>
      </c>
      <c r="AF68">
        <v>106</v>
      </c>
      <c r="AG68" s="3">
        <f t="shared" si="30"/>
        <v>22.553191489361701</v>
      </c>
      <c r="AH68">
        <v>45</v>
      </c>
      <c r="AI68" s="3">
        <f t="shared" si="31"/>
        <v>9.5744680851063837</v>
      </c>
      <c r="AJ68">
        <v>43</v>
      </c>
      <c r="AK68" s="3">
        <f t="shared" si="32"/>
        <v>9.1489361702127656</v>
      </c>
      <c r="AL68">
        <v>5</v>
      </c>
      <c r="AM68" s="3">
        <f t="shared" si="36"/>
        <v>1.0638297872340425</v>
      </c>
      <c r="AN68">
        <v>122</v>
      </c>
      <c r="AO68" s="3">
        <f t="shared" si="33"/>
        <v>25.957446808510639</v>
      </c>
      <c r="AP68">
        <v>17</v>
      </c>
      <c r="AQ68" s="3">
        <f t="shared" si="34"/>
        <v>3.6170212765957448</v>
      </c>
      <c r="AR68">
        <v>12</v>
      </c>
      <c r="AS68" s="3">
        <f t="shared" si="35"/>
        <v>2.5531914893617023</v>
      </c>
      <c r="AT68" t="s">
        <v>209</v>
      </c>
      <c r="AV68"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-69.151515151515184</v>
      </c>
      <c r="AW68" s="13">
        <f>2*(Дума_одномандатный[[#This Row],[Майданов Денис Васильевич]]-(AB$124/100)*Дума_одномандатный[[#This Row],[Число действительных избирательных бюллетеней]])</f>
        <v>-91.28000000000003</v>
      </c>
      <c r="AX68" s="13">
        <f>(Дума_одномандатный[[#This Row],[Вброс]]+Дума_одномандатный[[#This Row],[Перекладывание]])/2</f>
        <v>-80.215757575757607</v>
      </c>
      <c r="AY68" s="13" t="str">
        <f>Дума_партии[[#This Row],[Зона ответственности в сен. 2022 г.]]</f>
        <v>Одинцово КПРФ</v>
      </c>
    </row>
    <row r="69" spans="1:51" x14ac:dyDescent="0.4">
      <c r="A69" t="s">
        <v>49</v>
      </c>
      <c r="B69" t="s">
        <v>50</v>
      </c>
      <c r="C69" t="s">
        <v>51</v>
      </c>
      <c r="D69" t="s">
        <v>102</v>
      </c>
      <c r="E69" t="s">
        <v>170</v>
      </c>
      <c r="F69" s="1">
        <f t="shared" ca="1" si="21"/>
        <v>1809</v>
      </c>
      <c r="G69" s="1" t="str">
        <f>Дума_партии[[#This Row],[Местоположение]]</f>
        <v>Селятино</v>
      </c>
      <c r="H69">
        <v>1200</v>
      </c>
      <c r="I69" s="10">
        <f>Дума_одномандатный[[#This Row],[Число избирателей, внесенных в список избирателей на момент окончания голосования]]</f>
        <v>1200</v>
      </c>
      <c r="J69">
        <v>1200</v>
      </c>
      <c r="K69">
        <v>0</v>
      </c>
      <c r="L69">
        <v>411</v>
      </c>
      <c r="M69">
        <v>10</v>
      </c>
      <c r="N69" s="3">
        <f t="shared" si="22"/>
        <v>35.083333333333336</v>
      </c>
      <c r="O69" s="3">
        <f t="shared" si="23"/>
        <v>0.83333333333333337</v>
      </c>
      <c r="P69">
        <v>779</v>
      </c>
      <c r="Q69">
        <v>10</v>
      </c>
      <c r="R69">
        <v>410</v>
      </c>
      <c r="S69" s="1">
        <f t="shared" si="24"/>
        <v>420</v>
      </c>
      <c r="T69" s="3">
        <f t="shared" si="25"/>
        <v>2.3809523809523809</v>
      </c>
      <c r="U69">
        <v>31</v>
      </c>
      <c r="V69" s="3">
        <f t="shared" si="26"/>
        <v>7.3809523809523814</v>
      </c>
      <c r="W69">
        <v>389</v>
      </c>
      <c r="X69">
        <v>0</v>
      </c>
      <c r="Y69">
        <v>0</v>
      </c>
      <c r="Z69">
        <v>18</v>
      </c>
      <c r="AA69" s="3">
        <f t="shared" si="27"/>
        <v>4.2857142857142856</v>
      </c>
      <c r="AB69">
        <v>31</v>
      </c>
      <c r="AC69" s="3">
        <f t="shared" si="28"/>
        <v>7.3809523809523814</v>
      </c>
      <c r="AD69">
        <v>35</v>
      </c>
      <c r="AE69" s="3">
        <f t="shared" si="29"/>
        <v>8.3333333333333339</v>
      </c>
      <c r="AF69">
        <v>112</v>
      </c>
      <c r="AG69" s="3">
        <f t="shared" si="30"/>
        <v>26.666666666666668</v>
      </c>
      <c r="AH69">
        <v>37</v>
      </c>
      <c r="AI69" s="3">
        <f t="shared" si="31"/>
        <v>8.8095238095238102</v>
      </c>
      <c r="AJ69">
        <v>39</v>
      </c>
      <c r="AK69" s="3">
        <f t="shared" si="32"/>
        <v>9.2857142857142865</v>
      </c>
      <c r="AL69">
        <v>11</v>
      </c>
      <c r="AM69" s="3">
        <f t="shared" si="36"/>
        <v>2.6190476190476191</v>
      </c>
      <c r="AN69">
        <v>76</v>
      </c>
      <c r="AO69" s="3">
        <f t="shared" si="33"/>
        <v>18.095238095238095</v>
      </c>
      <c r="AP69">
        <v>17</v>
      </c>
      <c r="AQ69" s="3">
        <f t="shared" si="34"/>
        <v>4.0476190476190474</v>
      </c>
      <c r="AR69">
        <v>13</v>
      </c>
      <c r="AS69" s="3">
        <f t="shared" si="35"/>
        <v>3.0952380952380953</v>
      </c>
      <c r="AT69" t="s">
        <v>209</v>
      </c>
      <c r="AV69"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-30.696969696969717</v>
      </c>
      <c r="AW69" s="13">
        <f>2*(Дума_одномандатный[[#This Row],[Майданов Денис Васильевич]]-(AB$124/100)*Дума_одномандатный[[#This Row],[Число действительных избирательных бюллетеней]])</f>
        <v>-40.520000000000039</v>
      </c>
      <c r="AX69" s="13">
        <f>(Дума_одномандатный[[#This Row],[Вброс]]+Дума_одномандатный[[#This Row],[Перекладывание]])/2</f>
        <v>-35.608484848484878</v>
      </c>
      <c r="AY69" s="13" t="str">
        <f>Дума_партии[[#This Row],[Зона ответственности в сен. 2022 г.]]</f>
        <v>Одинцово КПРФ</v>
      </c>
    </row>
    <row r="70" spans="1:51" x14ac:dyDescent="0.4">
      <c r="A70" t="s">
        <v>49</v>
      </c>
      <c r="B70" t="s">
        <v>50</v>
      </c>
      <c r="C70" t="s">
        <v>51</v>
      </c>
      <c r="D70" t="s">
        <v>102</v>
      </c>
      <c r="E70" t="s">
        <v>171</v>
      </c>
      <c r="F70" s="1">
        <f t="shared" ca="1" si="21"/>
        <v>1810</v>
      </c>
      <c r="G70" s="1" t="str">
        <f>Дума_партии[[#This Row],[Местоположение]]</f>
        <v>Селятино</v>
      </c>
      <c r="H70">
        <v>1269</v>
      </c>
      <c r="I70" s="10">
        <f>Дума_одномандатный[[#This Row],[Число избирателей, внесенных в список избирателей на момент окончания голосования]]</f>
        <v>1269</v>
      </c>
      <c r="J70">
        <v>1200</v>
      </c>
      <c r="K70">
        <v>0</v>
      </c>
      <c r="L70">
        <v>428</v>
      </c>
      <c r="M70">
        <v>5</v>
      </c>
      <c r="N70" s="3">
        <f t="shared" si="22"/>
        <v>34.121355397951142</v>
      </c>
      <c r="O70" s="3">
        <f t="shared" si="23"/>
        <v>0.39401103230890466</v>
      </c>
      <c r="P70">
        <v>767</v>
      </c>
      <c r="Q70">
        <v>5</v>
      </c>
      <c r="R70">
        <v>428</v>
      </c>
      <c r="S70" s="1">
        <f t="shared" si="24"/>
        <v>433</v>
      </c>
      <c r="T70" s="3">
        <f t="shared" si="25"/>
        <v>1.1547344110854503</v>
      </c>
      <c r="U70">
        <v>18</v>
      </c>
      <c r="V70" s="3">
        <f t="shared" si="26"/>
        <v>4.1570438799076213</v>
      </c>
      <c r="W70">
        <v>415</v>
      </c>
      <c r="X70">
        <v>0</v>
      </c>
      <c r="Y70">
        <v>0</v>
      </c>
      <c r="Z70">
        <v>18</v>
      </c>
      <c r="AA70" s="3">
        <f t="shared" si="27"/>
        <v>4.1570438799076213</v>
      </c>
      <c r="AB70">
        <v>16</v>
      </c>
      <c r="AC70" s="3">
        <f t="shared" si="28"/>
        <v>3.695150115473441</v>
      </c>
      <c r="AD70">
        <v>24</v>
      </c>
      <c r="AE70" s="3">
        <f t="shared" si="29"/>
        <v>5.5427251732101617</v>
      </c>
      <c r="AF70">
        <v>175</v>
      </c>
      <c r="AG70" s="3">
        <f t="shared" si="30"/>
        <v>40.415704387990765</v>
      </c>
      <c r="AH70">
        <v>40</v>
      </c>
      <c r="AI70" s="3">
        <f t="shared" si="31"/>
        <v>9.2378752886836022</v>
      </c>
      <c r="AJ70">
        <v>37</v>
      </c>
      <c r="AK70" s="3">
        <f t="shared" si="32"/>
        <v>8.5450346420323324</v>
      </c>
      <c r="AL70">
        <v>4</v>
      </c>
      <c r="AM70" s="3">
        <f t="shared" si="36"/>
        <v>0.92378752886836024</v>
      </c>
      <c r="AN70">
        <v>79</v>
      </c>
      <c r="AO70" s="3">
        <f t="shared" si="33"/>
        <v>18.244803695150114</v>
      </c>
      <c r="AP70">
        <v>15</v>
      </c>
      <c r="AQ70" s="3">
        <f t="shared" si="34"/>
        <v>3.464203233256351</v>
      </c>
      <c r="AR70">
        <v>7</v>
      </c>
      <c r="AS70" s="3">
        <f t="shared" si="35"/>
        <v>1.6166281755196306</v>
      </c>
      <c r="AT70" t="s">
        <v>209</v>
      </c>
      <c r="AV70"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51.363636363636346</v>
      </c>
      <c r="AW70" s="13">
        <f>2*(Дума_одномандатный[[#This Row],[Майданов Денис Васильевич]]-(AB$124/100)*Дума_одномандатный[[#This Row],[Число действительных избирательных бюллетеней]])</f>
        <v>67.799999999999955</v>
      </c>
      <c r="AX70" s="13">
        <f>(Дума_одномандатный[[#This Row],[Вброс]]+Дума_одномандатный[[#This Row],[Перекладывание]])/2</f>
        <v>59.58181818181815</v>
      </c>
      <c r="AY70" s="13" t="str">
        <f>Дума_партии[[#This Row],[Зона ответственности в сен. 2022 г.]]</f>
        <v>Одинцово КПРФ</v>
      </c>
    </row>
    <row r="71" spans="1:51" x14ac:dyDescent="0.4">
      <c r="A71" t="s">
        <v>49</v>
      </c>
      <c r="B71" t="s">
        <v>50</v>
      </c>
      <c r="C71" t="s">
        <v>51</v>
      </c>
      <c r="D71" t="s">
        <v>102</v>
      </c>
      <c r="E71" t="s">
        <v>172</v>
      </c>
      <c r="F71" s="1">
        <f t="shared" ca="1" si="21"/>
        <v>1811</v>
      </c>
      <c r="G71" s="1" t="str">
        <f>Дума_партии[[#This Row],[Местоположение]]</f>
        <v>Селятино</v>
      </c>
      <c r="H71">
        <v>794</v>
      </c>
      <c r="I71" s="10">
        <f>Дума_одномандатный[[#This Row],[Число избирателей, внесенных в список избирателей на момент окончания голосования]]</f>
        <v>794</v>
      </c>
      <c r="J71">
        <v>800</v>
      </c>
      <c r="K71">
        <v>0</v>
      </c>
      <c r="L71">
        <v>317</v>
      </c>
      <c r="M71">
        <v>2</v>
      </c>
      <c r="N71" s="3">
        <f t="shared" si="22"/>
        <v>40.176322418136017</v>
      </c>
      <c r="O71" s="3">
        <f t="shared" si="23"/>
        <v>0.25188916876574308</v>
      </c>
      <c r="P71">
        <v>481</v>
      </c>
      <c r="Q71">
        <v>2</v>
      </c>
      <c r="R71">
        <v>317</v>
      </c>
      <c r="S71" s="1">
        <f t="shared" si="24"/>
        <v>319</v>
      </c>
      <c r="T71" s="3">
        <f t="shared" si="25"/>
        <v>0.62695924764890287</v>
      </c>
      <c r="U71">
        <v>9</v>
      </c>
      <c r="V71" s="3">
        <f t="shared" si="26"/>
        <v>2.8213166144200628</v>
      </c>
      <c r="W71">
        <v>310</v>
      </c>
      <c r="X71">
        <v>0</v>
      </c>
      <c r="Y71">
        <v>0</v>
      </c>
      <c r="Z71">
        <v>11</v>
      </c>
      <c r="AA71" s="3">
        <f t="shared" si="27"/>
        <v>3.4482758620689653</v>
      </c>
      <c r="AB71">
        <v>24</v>
      </c>
      <c r="AC71" s="3">
        <f t="shared" si="28"/>
        <v>7.523510971786834</v>
      </c>
      <c r="AD71">
        <v>22</v>
      </c>
      <c r="AE71" s="3">
        <f t="shared" si="29"/>
        <v>6.8965517241379306</v>
      </c>
      <c r="AF71">
        <v>81</v>
      </c>
      <c r="AG71" s="3">
        <f t="shared" si="30"/>
        <v>25.391849529780565</v>
      </c>
      <c r="AH71">
        <v>27</v>
      </c>
      <c r="AI71" s="3">
        <f t="shared" si="31"/>
        <v>8.4639498432601883</v>
      </c>
      <c r="AJ71">
        <v>29</v>
      </c>
      <c r="AK71" s="3">
        <f t="shared" si="32"/>
        <v>9.0909090909090917</v>
      </c>
      <c r="AL71">
        <v>8</v>
      </c>
      <c r="AM71" s="3">
        <f t="shared" si="36"/>
        <v>2.5078369905956115</v>
      </c>
      <c r="AN71">
        <v>83</v>
      </c>
      <c r="AO71" s="3">
        <f t="shared" si="33"/>
        <v>26.018808777429467</v>
      </c>
      <c r="AP71">
        <v>14</v>
      </c>
      <c r="AQ71" s="3">
        <f t="shared" si="34"/>
        <v>4.3887147335423196</v>
      </c>
      <c r="AR71">
        <v>11</v>
      </c>
      <c r="AS71" s="3">
        <f t="shared" si="35"/>
        <v>3.4482758620689653</v>
      </c>
      <c r="AT71" t="s">
        <v>209</v>
      </c>
      <c r="AV71"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-36.969696969696997</v>
      </c>
      <c r="AW71" s="13">
        <f>2*(Дума_одномандатный[[#This Row],[Майданов Денис Васильевич]]-(AB$124/100)*Дума_одномандатный[[#This Row],[Число действительных избирательных бюллетеней]])</f>
        <v>-48.800000000000011</v>
      </c>
      <c r="AX71" s="13">
        <f>(Дума_одномандатный[[#This Row],[Вброс]]+Дума_одномандатный[[#This Row],[Перекладывание]])/2</f>
        <v>-42.884848484848504</v>
      </c>
      <c r="AY71" s="13" t="str">
        <f>Дума_партии[[#This Row],[Зона ответственности в сен. 2022 г.]]</f>
        <v>Одинцово КПРФ</v>
      </c>
    </row>
    <row r="72" spans="1:51" x14ac:dyDescent="0.4">
      <c r="A72" t="s">
        <v>49</v>
      </c>
      <c r="B72" t="s">
        <v>50</v>
      </c>
      <c r="C72" t="s">
        <v>51</v>
      </c>
      <c r="D72" t="s">
        <v>102</v>
      </c>
      <c r="E72" t="s">
        <v>173</v>
      </c>
      <c r="F72" s="1">
        <f t="shared" ref="F72:F103" ca="1" si="37">SUMPRODUCT(MID(0&amp;E72, LARGE(INDEX(ISNUMBER(--MID(E72, ROW(INDIRECT("1:"&amp;LEN(E72))), 1)) * ROW(INDIRECT("1:"&amp;LEN(E72))), 0), ROW(INDIRECT("1:"&amp;LEN(E72))))+1, 1) * 10^ROW(INDIRECT("1:"&amp;LEN(E72)))/10)</f>
        <v>1812</v>
      </c>
      <c r="G72" s="1" t="str">
        <f>Дума_партии[[#This Row],[Местоположение]]</f>
        <v>Алабино</v>
      </c>
      <c r="H72">
        <v>555</v>
      </c>
      <c r="I72" s="10">
        <f>Дума_одномандатный[[#This Row],[Число избирателей, внесенных в список избирателей на момент окончания голосования]]</f>
        <v>555</v>
      </c>
      <c r="J72">
        <v>500</v>
      </c>
      <c r="K72">
        <v>0</v>
      </c>
      <c r="L72">
        <v>146</v>
      </c>
      <c r="M72">
        <v>4</v>
      </c>
      <c r="N72" s="3">
        <f t="shared" ref="N72:N103" si="38">100*(L72+M72)/H72</f>
        <v>27.027027027027028</v>
      </c>
      <c r="O72" s="3">
        <f t="shared" ref="O72:O105" si="39">100*M72/H72</f>
        <v>0.72072072072072069</v>
      </c>
      <c r="P72">
        <v>350</v>
      </c>
      <c r="Q72">
        <v>4</v>
      </c>
      <c r="R72">
        <v>146</v>
      </c>
      <c r="S72" s="1">
        <f t="shared" ref="S72:S103" si="40">Q72+R72</f>
        <v>150</v>
      </c>
      <c r="T72" s="3">
        <f t="shared" ref="T72:T103" si="41">100*Q72/S72</f>
        <v>2.6666666666666665</v>
      </c>
      <c r="U72">
        <v>6</v>
      </c>
      <c r="V72" s="3">
        <f t="shared" ref="V72:V103" si="42">100*U72/S72</f>
        <v>4</v>
      </c>
      <c r="W72">
        <v>144</v>
      </c>
      <c r="X72">
        <v>0</v>
      </c>
      <c r="Y72">
        <v>0</v>
      </c>
      <c r="Z72">
        <v>7</v>
      </c>
      <c r="AA72" s="3">
        <f t="shared" ref="AA72:AA103" si="43">100*Z72/$S72</f>
        <v>4.666666666666667</v>
      </c>
      <c r="AB72">
        <v>12</v>
      </c>
      <c r="AC72" s="3">
        <f t="shared" ref="AC72:AC103" si="44">100*AB72/$S72</f>
        <v>8</v>
      </c>
      <c r="AD72">
        <v>5</v>
      </c>
      <c r="AE72" s="3">
        <f t="shared" ref="AE72:AE103" si="45">100*AD72/$S72</f>
        <v>3.3333333333333335</v>
      </c>
      <c r="AF72">
        <v>31</v>
      </c>
      <c r="AG72" s="3">
        <f t="shared" ref="AG72:AG103" si="46">100*AF72/$S72</f>
        <v>20.666666666666668</v>
      </c>
      <c r="AH72">
        <v>11</v>
      </c>
      <c r="AI72" s="3">
        <f t="shared" ref="AI72:AI103" si="47">100*AH72/$S72</f>
        <v>7.333333333333333</v>
      </c>
      <c r="AJ72">
        <v>12</v>
      </c>
      <c r="AK72" s="3">
        <f t="shared" ref="AK72:AK103" si="48">100*AJ72/$S72</f>
        <v>8</v>
      </c>
      <c r="AL72">
        <v>3</v>
      </c>
      <c r="AM72" s="3">
        <f t="shared" si="36"/>
        <v>2</v>
      </c>
      <c r="AN72">
        <v>52</v>
      </c>
      <c r="AO72" s="3">
        <f t="shared" ref="AO72:AO103" si="49">100*AN72/$S72</f>
        <v>34.666666666666664</v>
      </c>
      <c r="AP72">
        <v>8</v>
      </c>
      <c r="AQ72" s="3">
        <f t="shared" ref="AQ72:AQ103" si="50">100*AP72/$S72</f>
        <v>5.333333333333333</v>
      </c>
      <c r="AR72">
        <v>3</v>
      </c>
      <c r="AS72" s="3">
        <f t="shared" ref="AS72:AS103" si="51">100*AR72/$S72</f>
        <v>2</v>
      </c>
      <c r="AT72" t="s">
        <v>209</v>
      </c>
      <c r="AV72"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-27.212121212121225</v>
      </c>
      <c r="AW72" s="13">
        <f>2*(Дума_одномандатный[[#This Row],[Майданов Денис Васильевич]]-(AB$124/100)*Дума_одномандатный[[#This Row],[Число действительных избирательных бюллетеней]])</f>
        <v>-35.92</v>
      </c>
      <c r="AX72" s="13">
        <f>(Дума_одномандатный[[#This Row],[Вброс]]+Дума_одномандатный[[#This Row],[Перекладывание]])/2</f>
        <v>-31.566060606060613</v>
      </c>
      <c r="AY72" s="13" t="str">
        <f>Дума_партии[[#This Row],[Зона ответственности в сен. 2022 г.]]</f>
        <v>Одинцово КПРФ</v>
      </c>
    </row>
    <row r="73" spans="1:51" x14ac:dyDescent="0.4">
      <c r="A73" t="s">
        <v>49</v>
      </c>
      <c r="B73" t="s">
        <v>50</v>
      </c>
      <c r="C73" t="s">
        <v>51</v>
      </c>
      <c r="D73" t="s">
        <v>102</v>
      </c>
      <c r="E73" t="s">
        <v>174</v>
      </c>
      <c r="F73" s="1">
        <f t="shared" ca="1" si="37"/>
        <v>1813</v>
      </c>
      <c r="G73" s="1" t="str">
        <f>Дума_партии[[#This Row],[Местоположение]]</f>
        <v>Софьино</v>
      </c>
      <c r="H73">
        <v>2030</v>
      </c>
      <c r="I73" s="10">
        <f>Дума_одномандатный[[#This Row],[Число избирателей, внесенных в список избирателей на момент окончания голосования]]</f>
        <v>2030</v>
      </c>
      <c r="J73">
        <v>2000</v>
      </c>
      <c r="K73">
        <v>0</v>
      </c>
      <c r="L73">
        <v>635</v>
      </c>
      <c r="M73">
        <v>60</v>
      </c>
      <c r="N73" s="3">
        <f t="shared" si="38"/>
        <v>34.236453201970441</v>
      </c>
      <c r="O73" s="3">
        <f t="shared" si="39"/>
        <v>2.9556650246305418</v>
      </c>
      <c r="P73">
        <v>1305</v>
      </c>
      <c r="Q73">
        <v>60</v>
      </c>
      <c r="R73">
        <v>635</v>
      </c>
      <c r="S73" s="1">
        <f t="shared" si="40"/>
        <v>695</v>
      </c>
      <c r="T73" s="3">
        <f t="shared" si="41"/>
        <v>8.6330935251798557</v>
      </c>
      <c r="U73">
        <v>47</v>
      </c>
      <c r="V73" s="3">
        <f t="shared" si="42"/>
        <v>6.7625899280575537</v>
      </c>
      <c r="W73">
        <v>648</v>
      </c>
      <c r="X73">
        <v>0</v>
      </c>
      <c r="Y73">
        <v>0</v>
      </c>
      <c r="Z73">
        <v>33</v>
      </c>
      <c r="AA73" s="3">
        <f t="shared" si="43"/>
        <v>4.7482014388489207</v>
      </c>
      <c r="AB73">
        <v>35</v>
      </c>
      <c r="AC73" s="3">
        <f t="shared" si="44"/>
        <v>5.0359712230215825</v>
      </c>
      <c r="AD73">
        <v>57</v>
      </c>
      <c r="AE73" s="3">
        <f t="shared" si="45"/>
        <v>8.2014388489208638</v>
      </c>
      <c r="AF73">
        <v>203</v>
      </c>
      <c r="AG73" s="3">
        <f t="shared" si="46"/>
        <v>29.208633093525179</v>
      </c>
      <c r="AH73">
        <v>86</v>
      </c>
      <c r="AI73" s="3">
        <f t="shared" si="47"/>
        <v>12.37410071942446</v>
      </c>
      <c r="AJ73">
        <v>48</v>
      </c>
      <c r="AK73" s="3">
        <f t="shared" si="48"/>
        <v>6.9064748201438846</v>
      </c>
      <c r="AL73">
        <v>11</v>
      </c>
      <c r="AM73" s="3">
        <f t="shared" si="36"/>
        <v>1.5827338129496402</v>
      </c>
      <c r="AN73">
        <v>139</v>
      </c>
      <c r="AO73" s="3">
        <f t="shared" si="49"/>
        <v>20</v>
      </c>
      <c r="AP73">
        <v>25</v>
      </c>
      <c r="AQ73" s="3">
        <f t="shared" si="50"/>
        <v>3.5971223021582732</v>
      </c>
      <c r="AR73">
        <v>11</v>
      </c>
      <c r="AS73" s="3">
        <f t="shared" si="51"/>
        <v>1.5827338129496402</v>
      </c>
      <c r="AT73" t="s">
        <v>209</v>
      </c>
      <c r="AV73"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-26.242424242424278</v>
      </c>
      <c r="AW73" s="13">
        <f>2*(Дума_одномандатный[[#This Row],[Майданов Денис Васильевич]]-(AB$124/100)*Дума_одномандатный[[#This Row],[Число действительных избирательных бюллетеней]])</f>
        <v>-34.640000000000043</v>
      </c>
      <c r="AX73" s="13">
        <f>(Дума_одномандатный[[#This Row],[Вброс]]+Дума_одномандатный[[#This Row],[Перекладывание]])/2</f>
        <v>-30.44121212121216</v>
      </c>
      <c r="AY73" s="13" t="str">
        <f>Дума_партии[[#This Row],[Зона ответственности в сен. 2022 г.]]</f>
        <v>Одинцово КПРФ</v>
      </c>
    </row>
    <row r="74" spans="1:51" x14ac:dyDescent="0.4">
      <c r="A74" t="s">
        <v>49</v>
      </c>
      <c r="B74" t="s">
        <v>50</v>
      </c>
      <c r="C74" t="s">
        <v>51</v>
      </c>
      <c r="D74" t="s">
        <v>102</v>
      </c>
      <c r="E74" t="s">
        <v>175</v>
      </c>
      <c r="F74" s="1">
        <f t="shared" ca="1" si="37"/>
        <v>1814</v>
      </c>
      <c r="G74" s="1" t="str">
        <f>Дума_партии[[#This Row],[Местоположение]]</f>
        <v>Атепцево</v>
      </c>
      <c r="H74">
        <v>658</v>
      </c>
      <c r="I74" s="10">
        <f>Дума_одномандатный[[#This Row],[Число избирателей, внесенных в список избирателей на момент окончания голосования]]</f>
        <v>658</v>
      </c>
      <c r="J74">
        <v>600</v>
      </c>
      <c r="K74">
        <v>0</v>
      </c>
      <c r="L74">
        <v>291</v>
      </c>
      <c r="M74">
        <v>123</v>
      </c>
      <c r="N74" s="3">
        <f t="shared" si="38"/>
        <v>62.91793313069909</v>
      </c>
      <c r="O74" s="3">
        <f t="shared" si="39"/>
        <v>18.693009118541035</v>
      </c>
      <c r="P74">
        <v>186</v>
      </c>
      <c r="Q74">
        <v>123</v>
      </c>
      <c r="R74">
        <v>291</v>
      </c>
      <c r="S74" s="1">
        <f t="shared" si="40"/>
        <v>414</v>
      </c>
      <c r="T74" s="3">
        <f t="shared" si="41"/>
        <v>29.710144927536231</v>
      </c>
      <c r="U74">
        <v>28</v>
      </c>
      <c r="V74" s="3">
        <f t="shared" si="42"/>
        <v>6.7632850241545892</v>
      </c>
      <c r="W74">
        <v>386</v>
      </c>
      <c r="X74">
        <v>0</v>
      </c>
      <c r="Y74">
        <v>0</v>
      </c>
      <c r="Z74">
        <v>4</v>
      </c>
      <c r="AA74" s="3">
        <f t="shared" si="43"/>
        <v>0.96618357487922701</v>
      </c>
      <c r="AB74">
        <v>11</v>
      </c>
      <c r="AC74" s="3">
        <f t="shared" si="44"/>
        <v>2.6570048309178742</v>
      </c>
      <c r="AD74">
        <v>13</v>
      </c>
      <c r="AE74" s="3">
        <f t="shared" si="45"/>
        <v>3.1400966183574881</v>
      </c>
      <c r="AF74">
        <v>276</v>
      </c>
      <c r="AG74" s="3">
        <f t="shared" si="46"/>
        <v>66.666666666666671</v>
      </c>
      <c r="AH74">
        <v>30</v>
      </c>
      <c r="AI74" s="3">
        <f t="shared" si="47"/>
        <v>7.2463768115942031</v>
      </c>
      <c r="AJ74">
        <v>23</v>
      </c>
      <c r="AK74" s="3">
        <f t="shared" si="48"/>
        <v>5.5555555555555554</v>
      </c>
      <c r="AL74">
        <v>1</v>
      </c>
      <c r="AM74" s="3">
        <f t="shared" si="36"/>
        <v>0.24154589371980675</v>
      </c>
      <c r="AN74">
        <v>19</v>
      </c>
      <c r="AO74" s="3">
        <f t="shared" si="49"/>
        <v>4.5893719806763285</v>
      </c>
      <c r="AP74">
        <v>7</v>
      </c>
      <c r="AQ74" s="3">
        <f t="shared" si="50"/>
        <v>1.6908212560386473</v>
      </c>
      <c r="AR74">
        <v>2</v>
      </c>
      <c r="AS74" s="3">
        <f t="shared" si="51"/>
        <v>0.48309178743961351</v>
      </c>
      <c r="AT74" t="s">
        <v>209</v>
      </c>
      <c r="AV74"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219.33333333333331</v>
      </c>
      <c r="AW74" s="13">
        <f>2*(Дума_одномандатный[[#This Row],[Майданов Денис Васильевич]]-(AB$124/100)*Дума_одномандатный[[#This Row],[Число действительных избирательных бюллетеней]])</f>
        <v>289.52</v>
      </c>
      <c r="AX74" s="13">
        <f>(Дума_одномандатный[[#This Row],[Вброс]]+Дума_одномандатный[[#This Row],[Перекладывание]])/2</f>
        <v>254.42666666666665</v>
      </c>
      <c r="AY74" s="13">
        <f>Дума_партии[[#This Row],[Зона ответственности в сен. 2022 г.]]</f>
        <v>0</v>
      </c>
    </row>
    <row r="75" spans="1:51" x14ac:dyDescent="0.4">
      <c r="A75" t="s">
        <v>49</v>
      </c>
      <c r="B75" t="s">
        <v>50</v>
      </c>
      <c r="C75" t="s">
        <v>51</v>
      </c>
      <c r="D75" t="s">
        <v>102</v>
      </c>
      <c r="E75" t="s">
        <v>176</v>
      </c>
      <c r="F75" s="1">
        <f t="shared" ca="1" si="37"/>
        <v>1815</v>
      </c>
      <c r="G75" s="1" t="str">
        <f>Дума_партии[[#This Row],[Местоположение]]</f>
        <v>Атепцево</v>
      </c>
      <c r="H75">
        <v>1254</v>
      </c>
      <c r="I75" s="10">
        <f>Дума_одномандатный[[#This Row],[Число избирателей, внесенных в список избирателей на момент окончания голосования]]</f>
        <v>1254</v>
      </c>
      <c r="J75">
        <v>1200</v>
      </c>
      <c r="K75">
        <v>0</v>
      </c>
      <c r="L75">
        <v>613</v>
      </c>
      <c r="M75">
        <v>16</v>
      </c>
      <c r="N75" s="3">
        <f t="shared" si="38"/>
        <v>50.159489633173841</v>
      </c>
      <c r="O75" s="3">
        <f t="shared" si="39"/>
        <v>1.2759170653907497</v>
      </c>
      <c r="P75">
        <v>571</v>
      </c>
      <c r="Q75">
        <v>16</v>
      </c>
      <c r="R75">
        <v>613</v>
      </c>
      <c r="S75" s="1">
        <f t="shared" si="40"/>
        <v>629</v>
      </c>
      <c r="T75" s="3">
        <f t="shared" si="41"/>
        <v>2.5437201907790143</v>
      </c>
      <c r="U75">
        <v>55</v>
      </c>
      <c r="V75" s="3">
        <f t="shared" si="42"/>
        <v>8.7440381558028619</v>
      </c>
      <c r="W75">
        <v>574</v>
      </c>
      <c r="X75">
        <v>0</v>
      </c>
      <c r="Y75">
        <v>0</v>
      </c>
      <c r="Z75">
        <v>18</v>
      </c>
      <c r="AA75" s="3">
        <f t="shared" si="43"/>
        <v>2.8616852146263909</v>
      </c>
      <c r="AB75">
        <v>30</v>
      </c>
      <c r="AC75" s="3">
        <f t="shared" si="44"/>
        <v>4.7694753577106521</v>
      </c>
      <c r="AD75">
        <v>26</v>
      </c>
      <c r="AE75" s="3">
        <f t="shared" si="45"/>
        <v>4.1335453100158981</v>
      </c>
      <c r="AF75">
        <v>310</v>
      </c>
      <c r="AG75" s="3">
        <f t="shared" si="46"/>
        <v>49.284578696343402</v>
      </c>
      <c r="AH75">
        <v>44</v>
      </c>
      <c r="AI75" s="3">
        <f t="shared" si="47"/>
        <v>6.995230524642289</v>
      </c>
      <c r="AJ75">
        <v>39</v>
      </c>
      <c r="AK75" s="3">
        <f t="shared" si="48"/>
        <v>6.2003179650238476</v>
      </c>
      <c r="AL75">
        <v>5</v>
      </c>
      <c r="AM75" s="3">
        <f t="shared" si="36"/>
        <v>0.79491255961844198</v>
      </c>
      <c r="AN75">
        <v>67</v>
      </c>
      <c r="AO75" s="3">
        <f t="shared" si="49"/>
        <v>10.651828298887123</v>
      </c>
      <c r="AP75">
        <v>25</v>
      </c>
      <c r="AQ75" s="3">
        <f t="shared" si="50"/>
        <v>3.9745627980922098</v>
      </c>
      <c r="AR75">
        <v>10</v>
      </c>
      <c r="AS75" s="3">
        <f t="shared" si="51"/>
        <v>1.589825119236884</v>
      </c>
      <c r="AT75" t="s">
        <v>209</v>
      </c>
      <c r="AV75"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173.99999999999997</v>
      </c>
      <c r="AW75" s="13">
        <f>2*(Дума_одномандатный[[#This Row],[Майданов Денис Васильевич]]-(AB$124/100)*Дума_одномандатный[[#This Row],[Число действительных избирательных бюллетеней]])</f>
        <v>229.67999999999995</v>
      </c>
      <c r="AX75" s="13">
        <f>(Дума_одномандатный[[#This Row],[Вброс]]+Дума_одномандатный[[#This Row],[Перекладывание]])/2</f>
        <v>201.83999999999997</v>
      </c>
      <c r="AY75" s="13">
        <f>Дума_партии[[#This Row],[Зона ответственности в сен. 2022 г.]]</f>
        <v>0</v>
      </c>
    </row>
    <row r="76" spans="1:51" x14ac:dyDescent="0.4">
      <c r="A76" t="s">
        <v>49</v>
      </c>
      <c r="B76" t="s">
        <v>50</v>
      </c>
      <c r="C76" t="s">
        <v>51</v>
      </c>
      <c r="D76" t="s">
        <v>102</v>
      </c>
      <c r="E76" t="s">
        <v>177</v>
      </c>
      <c r="F76" s="1">
        <f t="shared" ca="1" si="37"/>
        <v>1816</v>
      </c>
      <c r="G76" s="1" t="str">
        <f>Дума_партии[[#This Row],[Местоположение]]</f>
        <v>Атепцево</v>
      </c>
      <c r="H76">
        <v>1282</v>
      </c>
      <c r="I76" s="10">
        <f>Дума_одномандатный[[#This Row],[Число избирателей, внесенных в список избирателей на момент окончания голосования]]</f>
        <v>1282</v>
      </c>
      <c r="J76">
        <v>1200</v>
      </c>
      <c r="K76">
        <v>0</v>
      </c>
      <c r="L76">
        <v>615</v>
      </c>
      <c r="M76">
        <v>44</v>
      </c>
      <c r="N76" s="3">
        <f t="shared" si="38"/>
        <v>51.404056162246491</v>
      </c>
      <c r="O76" s="3">
        <f t="shared" si="39"/>
        <v>3.4321372854914198</v>
      </c>
      <c r="P76">
        <v>541</v>
      </c>
      <c r="Q76">
        <v>44</v>
      </c>
      <c r="R76">
        <v>615</v>
      </c>
      <c r="S76" s="1">
        <f t="shared" si="40"/>
        <v>659</v>
      </c>
      <c r="T76" s="3">
        <f t="shared" si="41"/>
        <v>6.6767830045523517</v>
      </c>
      <c r="U76">
        <v>35</v>
      </c>
      <c r="V76" s="3">
        <f t="shared" si="42"/>
        <v>5.3110773899848258</v>
      </c>
      <c r="W76">
        <v>624</v>
      </c>
      <c r="X76">
        <v>0</v>
      </c>
      <c r="Y76">
        <v>0</v>
      </c>
      <c r="Z76">
        <v>14</v>
      </c>
      <c r="AA76" s="3">
        <f t="shared" si="43"/>
        <v>2.1244309559939301</v>
      </c>
      <c r="AB76">
        <v>25</v>
      </c>
      <c r="AC76" s="3">
        <f t="shared" si="44"/>
        <v>3.793626707132018</v>
      </c>
      <c r="AD76">
        <v>22</v>
      </c>
      <c r="AE76" s="3">
        <f t="shared" si="45"/>
        <v>3.3383915022761759</v>
      </c>
      <c r="AF76">
        <v>356</v>
      </c>
      <c r="AG76" s="3">
        <f t="shared" si="46"/>
        <v>54.02124430955994</v>
      </c>
      <c r="AH76">
        <v>53</v>
      </c>
      <c r="AI76" s="3">
        <f t="shared" si="47"/>
        <v>8.0424886191198794</v>
      </c>
      <c r="AJ76">
        <v>41</v>
      </c>
      <c r="AK76" s="3">
        <f t="shared" si="48"/>
        <v>6.2215477996965101</v>
      </c>
      <c r="AL76">
        <v>9</v>
      </c>
      <c r="AM76" s="3">
        <f t="shared" si="36"/>
        <v>1.3657056145675266</v>
      </c>
      <c r="AN76">
        <v>81</v>
      </c>
      <c r="AO76" s="3">
        <f t="shared" si="49"/>
        <v>12.291350531107739</v>
      </c>
      <c r="AP76">
        <v>15</v>
      </c>
      <c r="AQ76" s="3">
        <f t="shared" si="50"/>
        <v>2.2761760242792111</v>
      </c>
      <c r="AR76">
        <v>8</v>
      </c>
      <c r="AS76" s="3">
        <f t="shared" si="51"/>
        <v>1.2139605462822458</v>
      </c>
      <c r="AT76" t="s">
        <v>209</v>
      </c>
      <c r="AV76"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217.93939393939391</v>
      </c>
      <c r="AW76" s="13">
        <f>2*(Дума_одномандатный[[#This Row],[Майданов Денис Васильевич]]-(AB$124/100)*Дума_одномандатный[[#This Row],[Число действительных избирательных бюллетеней]])</f>
        <v>287.67999999999995</v>
      </c>
      <c r="AX76" s="13">
        <f>(Дума_одномандатный[[#This Row],[Вброс]]+Дума_одномандатный[[#This Row],[Перекладывание]])/2</f>
        <v>252.80969696969692</v>
      </c>
      <c r="AY76" s="13">
        <f>Дума_партии[[#This Row],[Зона ответственности в сен. 2022 г.]]</f>
        <v>0</v>
      </c>
    </row>
    <row r="77" spans="1:51" x14ac:dyDescent="0.4">
      <c r="A77" t="s">
        <v>49</v>
      </c>
      <c r="B77" t="s">
        <v>50</v>
      </c>
      <c r="C77" t="s">
        <v>51</v>
      </c>
      <c r="D77" t="s">
        <v>102</v>
      </c>
      <c r="E77" t="s">
        <v>178</v>
      </c>
      <c r="F77" s="1">
        <f t="shared" ca="1" si="37"/>
        <v>1817</v>
      </c>
      <c r="G77" s="1" t="str">
        <f>Дума_партии[[#This Row],[Местоположение]]</f>
        <v>Новая Ольховка</v>
      </c>
      <c r="H77">
        <v>773</v>
      </c>
      <c r="I77" s="10">
        <f>Дума_одномандатный[[#This Row],[Число избирателей, внесенных в список избирателей на момент окончания голосования]]</f>
        <v>773</v>
      </c>
      <c r="J77">
        <v>600</v>
      </c>
      <c r="K77">
        <v>0</v>
      </c>
      <c r="L77">
        <v>190</v>
      </c>
      <c r="M77">
        <v>165</v>
      </c>
      <c r="N77" s="3">
        <f t="shared" si="38"/>
        <v>45.924967658473477</v>
      </c>
      <c r="O77" s="3">
        <f t="shared" si="39"/>
        <v>21.345407503234153</v>
      </c>
      <c r="P77">
        <v>245</v>
      </c>
      <c r="Q77">
        <v>165</v>
      </c>
      <c r="R77">
        <v>190</v>
      </c>
      <c r="S77" s="1">
        <f t="shared" si="40"/>
        <v>355</v>
      </c>
      <c r="T77" s="3">
        <f t="shared" si="41"/>
        <v>46.478873239436616</v>
      </c>
      <c r="U77">
        <v>18</v>
      </c>
      <c r="V77" s="3">
        <f t="shared" si="42"/>
        <v>5.070422535211268</v>
      </c>
      <c r="W77">
        <v>337</v>
      </c>
      <c r="X77">
        <v>0</v>
      </c>
      <c r="Y77">
        <v>0</v>
      </c>
      <c r="Z77">
        <v>4</v>
      </c>
      <c r="AA77" s="3">
        <f t="shared" si="43"/>
        <v>1.1267605633802817</v>
      </c>
      <c r="AB77">
        <v>3</v>
      </c>
      <c r="AC77" s="3">
        <f t="shared" si="44"/>
        <v>0.84507042253521125</v>
      </c>
      <c r="AD77">
        <v>18</v>
      </c>
      <c r="AE77" s="3">
        <f t="shared" si="45"/>
        <v>5.070422535211268</v>
      </c>
      <c r="AF77">
        <v>194</v>
      </c>
      <c r="AG77" s="3">
        <f t="shared" si="46"/>
        <v>54.647887323943664</v>
      </c>
      <c r="AH77">
        <v>38</v>
      </c>
      <c r="AI77" s="3">
        <f t="shared" si="47"/>
        <v>10.704225352112676</v>
      </c>
      <c r="AJ77">
        <v>33</v>
      </c>
      <c r="AK77" s="3">
        <f t="shared" si="48"/>
        <v>9.295774647887324</v>
      </c>
      <c r="AL77">
        <v>1</v>
      </c>
      <c r="AM77" s="3">
        <f t="shared" si="36"/>
        <v>0.28169014084507044</v>
      </c>
      <c r="AN77">
        <v>36</v>
      </c>
      <c r="AO77" s="3">
        <f t="shared" si="49"/>
        <v>10.140845070422536</v>
      </c>
      <c r="AP77">
        <v>7</v>
      </c>
      <c r="AQ77" s="3">
        <f t="shared" si="50"/>
        <v>1.971830985915493</v>
      </c>
      <c r="AR77">
        <v>3</v>
      </c>
      <c r="AS77" s="3">
        <f t="shared" si="51"/>
        <v>0.84507042253521125</v>
      </c>
      <c r="AT77" t="s">
        <v>209</v>
      </c>
      <c r="AV77"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120.33333333333331</v>
      </c>
      <c r="AW77" s="13">
        <f>2*(Дума_одномандатный[[#This Row],[Майданов Денис Васильевич]]-(AB$124/100)*Дума_одномандатный[[#This Row],[Число действительных избирательных бюллетеней]])</f>
        <v>158.83999999999997</v>
      </c>
      <c r="AX77" s="13">
        <f>(Дума_одномандатный[[#This Row],[Вброс]]+Дума_одномандатный[[#This Row],[Перекладывание]])/2</f>
        <v>139.58666666666664</v>
      </c>
      <c r="AY77" s="13">
        <f>Дума_партии[[#This Row],[Зона ответственности в сен. 2022 г.]]</f>
        <v>0</v>
      </c>
    </row>
    <row r="78" spans="1:51" x14ac:dyDescent="0.4">
      <c r="A78" t="s">
        <v>49</v>
      </c>
      <c r="B78" t="s">
        <v>50</v>
      </c>
      <c r="C78" t="s">
        <v>51</v>
      </c>
      <c r="D78" t="s">
        <v>102</v>
      </c>
      <c r="E78" t="s">
        <v>179</v>
      </c>
      <c r="F78" s="1">
        <f t="shared" ca="1" si="37"/>
        <v>1818</v>
      </c>
      <c r="G78" s="1" t="str">
        <f>Дума_партии[[#This Row],[Местоположение]]</f>
        <v>Новая Ольховка</v>
      </c>
      <c r="H78">
        <v>1252</v>
      </c>
      <c r="I78" s="10">
        <f>Дума_одномандатный[[#This Row],[Число избирателей, внесенных в список избирателей на момент окончания голосования]]</f>
        <v>1252</v>
      </c>
      <c r="J78">
        <v>1200</v>
      </c>
      <c r="K78">
        <v>0</v>
      </c>
      <c r="L78">
        <v>527</v>
      </c>
      <c r="M78">
        <v>139</v>
      </c>
      <c r="N78" s="3">
        <f t="shared" si="38"/>
        <v>53.194888178913736</v>
      </c>
      <c r="O78" s="3">
        <f t="shared" si="39"/>
        <v>11.102236421725239</v>
      </c>
      <c r="P78">
        <v>534</v>
      </c>
      <c r="Q78">
        <v>139</v>
      </c>
      <c r="R78">
        <v>527</v>
      </c>
      <c r="S78" s="1">
        <f t="shared" si="40"/>
        <v>666</v>
      </c>
      <c r="T78" s="3">
        <f t="shared" si="41"/>
        <v>20.870870870870871</v>
      </c>
      <c r="U78">
        <v>6</v>
      </c>
      <c r="V78" s="3">
        <f t="shared" si="42"/>
        <v>0.90090090090090091</v>
      </c>
      <c r="W78">
        <v>660</v>
      </c>
      <c r="X78">
        <v>0</v>
      </c>
      <c r="Y78">
        <v>0</v>
      </c>
      <c r="Z78">
        <v>21</v>
      </c>
      <c r="AA78" s="3">
        <f t="shared" si="43"/>
        <v>3.1531531531531534</v>
      </c>
      <c r="AB78">
        <v>24</v>
      </c>
      <c r="AC78" s="3">
        <f t="shared" si="44"/>
        <v>3.6036036036036037</v>
      </c>
      <c r="AD78">
        <v>29</v>
      </c>
      <c r="AE78" s="3">
        <f t="shared" si="45"/>
        <v>4.3543543543543546</v>
      </c>
      <c r="AF78">
        <v>400</v>
      </c>
      <c r="AG78" s="3">
        <f t="shared" si="46"/>
        <v>60.06006006006006</v>
      </c>
      <c r="AH78">
        <v>52</v>
      </c>
      <c r="AI78" s="3">
        <f t="shared" si="47"/>
        <v>7.8078078078078077</v>
      </c>
      <c r="AJ78">
        <v>40</v>
      </c>
      <c r="AK78" s="3">
        <f t="shared" si="48"/>
        <v>6.0060060060060056</v>
      </c>
      <c r="AL78">
        <v>7</v>
      </c>
      <c r="AM78" s="3">
        <f t="shared" si="36"/>
        <v>1.0510510510510511</v>
      </c>
      <c r="AN78">
        <v>67</v>
      </c>
      <c r="AO78" s="3">
        <f t="shared" si="49"/>
        <v>10.06006006006006</v>
      </c>
      <c r="AP78">
        <v>13</v>
      </c>
      <c r="AQ78" s="3">
        <f t="shared" si="50"/>
        <v>1.9519519519519519</v>
      </c>
      <c r="AR78">
        <v>7</v>
      </c>
      <c r="AS78" s="3">
        <f t="shared" si="51"/>
        <v>1.0510510510510511</v>
      </c>
      <c r="AT78" t="s">
        <v>209</v>
      </c>
      <c r="AV78"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266.06060606060601</v>
      </c>
      <c r="AW78" s="13">
        <f>2*(Дума_одномандатный[[#This Row],[Майданов Денис Васильевич]]-(AB$124/100)*Дума_одномандатный[[#This Row],[Число действительных избирательных бюллетеней]])</f>
        <v>351.2</v>
      </c>
      <c r="AX78" s="13">
        <f>(Дума_одномандатный[[#This Row],[Вброс]]+Дума_одномандатный[[#This Row],[Перекладывание]])/2</f>
        <v>308.63030303030303</v>
      </c>
      <c r="AY78" s="13">
        <f>Дума_партии[[#This Row],[Зона ответственности в сен. 2022 г.]]</f>
        <v>0</v>
      </c>
    </row>
    <row r="79" spans="1:51" x14ac:dyDescent="0.4">
      <c r="A79" t="s">
        <v>49</v>
      </c>
      <c r="B79" t="s">
        <v>50</v>
      </c>
      <c r="C79" t="s">
        <v>51</v>
      </c>
      <c r="D79" t="s">
        <v>102</v>
      </c>
      <c r="E79" t="s">
        <v>180</v>
      </c>
      <c r="F79" s="1">
        <f t="shared" ca="1" si="37"/>
        <v>1819</v>
      </c>
      <c r="G79" s="1" t="str">
        <f>Дума_партии[[#This Row],[Местоположение]]</f>
        <v>Каменское</v>
      </c>
      <c r="H79">
        <v>1174</v>
      </c>
      <c r="I79" s="10">
        <f>Дума_одномандатный[[#This Row],[Число избирателей, внесенных в список избирателей на момент окончания голосования]]</f>
        <v>1174</v>
      </c>
      <c r="J79">
        <v>1200</v>
      </c>
      <c r="K79">
        <v>0</v>
      </c>
      <c r="L79">
        <v>626</v>
      </c>
      <c r="M79">
        <v>25</v>
      </c>
      <c r="N79" s="3">
        <f t="shared" si="38"/>
        <v>55.451448040885857</v>
      </c>
      <c r="O79" s="3">
        <f t="shared" si="39"/>
        <v>2.1294718909710393</v>
      </c>
      <c r="P79">
        <v>549</v>
      </c>
      <c r="Q79">
        <v>25</v>
      </c>
      <c r="R79">
        <v>626</v>
      </c>
      <c r="S79" s="1">
        <f t="shared" si="40"/>
        <v>651</v>
      </c>
      <c r="T79" s="3">
        <f t="shared" si="41"/>
        <v>3.8402457757296466</v>
      </c>
      <c r="U79">
        <v>61</v>
      </c>
      <c r="V79" s="3">
        <f t="shared" si="42"/>
        <v>9.3701996927803375</v>
      </c>
      <c r="W79">
        <v>590</v>
      </c>
      <c r="X79">
        <v>0</v>
      </c>
      <c r="Y79">
        <v>0</v>
      </c>
      <c r="Z79">
        <v>28</v>
      </c>
      <c r="AA79" s="3">
        <f t="shared" si="43"/>
        <v>4.301075268817204</v>
      </c>
      <c r="AB79">
        <v>34</v>
      </c>
      <c r="AC79" s="3">
        <f t="shared" si="44"/>
        <v>5.2227342549923197</v>
      </c>
      <c r="AD79">
        <v>34</v>
      </c>
      <c r="AE79" s="3">
        <f t="shared" si="45"/>
        <v>5.2227342549923197</v>
      </c>
      <c r="AF79">
        <v>301</v>
      </c>
      <c r="AG79" s="3">
        <f t="shared" si="46"/>
        <v>46.236559139784944</v>
      </c>
      <c r="AH79">
        <v>40</v>
      </c>
      <c r="AI79" s="3">
        <f t="shared" si="47"/>
        <v>6.1443932411674345</v>
      </c>
      <c r="AJ79">
        <v>59</v>
      </c>
      <c r="AK79" s="3">
        <f t="shared" si="48"/>
        <v>9.0629800307219668</v>
      </c>
      <c r="AL79">
        <v>9</v>
      </c>
      <c r="AM79" s="3">
        <f t="shared" si="36"/>
        <v>1.3824884792626728</v>
      </c>
      <c r="AN79">
        <v>61</v>
      </c>
      <c r="AO79" s="3">
        <f t="shared" si="49"/>
        <v>9.3701996927803375</v>
      </c>
      <c r="AP79">
        <v>17</v>
      </c>
      <c r="AQ79" s="3">
        <f t="shared" si="50"/>
        <v>2.6113671274961598</v>
      </c>
      <c r="AR79">
        <v>7</v>
      </c>
      <c r="AS79" s="3">
        <f t="shared" si="51"/>
        <v>1.075268817204301</v>
      </c>
      <c r="AT79" t="s">
        <v>209</v>
      </c>
      <c r="AV79"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152.1212121212121</v>
      </c>
      <c r="AW79" s="13">
        <f>2*(Дума_одномандатный[[#This Row],[Майданов Денис Васильевич]]-(AB$124/100)*Дума_одномандатный[[#This Row],[Число действительных избирательных бюллетеней]])</f>
        <v>200.79999999999995</v>
      </c>
      <c r="AX79" s="13">
        <f>(Дума_одномандатный[[#This Row],[Вброс]]+Дума_одномандатный[[#This Row],[Перекладывание]])/2</f>
        <v>176.46060606060604</v>
      </c>
      <c r="AY79" s="13">
        <f>Дума_партии[[#This Row],[Зона ответственности в сен. 2022 г.]]</f>
        <v>0</v>
      </c>
    </row>
    <row r="80" spans="1:51" x14ac:dyDescent="0.4">
      <c r="A80" t="s">
        <v>49</v>
      </c>
      <c r="B80" t="s">
        <v>50</v>
      </c>
      <c r="C80" t="s">
        <v>51</v>
      </c>
      <c r="D80" t="s">
        <v>102</v>
      </c>
      <c r="E80" t="s">
        <v>181</v>
      </c>
      <c r="F80" s="1">
        <f t="shared" ca="1" si="37"/>
        <v>1820</v>
      </c>
      <c r="G80" s="1" t="str">
        <f>Дума_партии[[#This Row],[Местоположение]]</f>
        <v>Веселево</v>
      </c>
      <c r="H80">
        <v>1129</v>
      </c>
      <c r="I80" s="10">
        <f>Дума_одномандатный[[#This Row],[Число избирателей, внесенных в список избирателей на момент окончания голосования]]</f>
        <v>1129</v>
      </c>
      <c r="J80">
        <v>1100</v>
      </c>
      <c r="K80">
        <v>0</v>
      </c>
      <c r="L80">
        <v>442</v>
      </c>
      <c r="M80">
        <v>201</v>
      </c>
      <c r="N80" s="3">
        <f t="shared" si="38"/>
        <v>56.953055801594331</v>
      </c>
      <c r="O80" s="3">
        <f t="shared" si="39"/>
        <v>17.803365810451727</v>
      </c>
      <c r="P80">
        <v>457</v>
      </c>
      <c r="Q80">
        <v>201</v>
      </c>
      <c r="R80">
        <v>442</v>
      </c>
      <c r="S80" s="1">
        <f t="shared" si="40"/>
        <v>643</v>
      </c>
      <c r="T80" s="3">
        <f t="shared" si="41"/>
        <v>31.259720062208398</v>
      </c>
      <c r="U80">
        <v>44</v>
      </c>
      <c r="V80" s="3">
        <f t="shared" si="42"/>
        <v>6.8429237947122861</v>
      </c>
      <c r="W80">
        <v>599</v>
      </c>
      <c r="X80">
        <v>0</v>
      </c>
      <c r="Y80">
        <v>0</v>
      </c>
      <c r="Z80">
        <v>18</v>
      </c>
      <c r="AA80" s="3">
        <f t="shared" si="43"/>
        <v>2.7993779160186625</v>
      </c>
      <c r="AB80">
        <v>26</v>
      </c>
      <c r="AC80" s="3">
        <f t="shared" si="44"/>
        <v>4.0435458786936236</v>
      </c>
      <c r="AD80">
        <v>35</v>
      </c>
      <c r="AE80" s="3">
        <f t="shared" si="45"/>
        <v>5.4432348367029553</v>
      </c>
      <c r="AF80">
        <v>325</v>
      </c>
      <c r="AG80" s="3">
        <f t="shared" si="46"/>
        <v>50.544323483670297</v>
      </c>
      <c r="AH80">
        <v>41</v>
      </c>
      <c r="AI80" s="3">
        <f t="shared" si="47"/>
        <v>6.3763608087091761</v>
      </c>
      <c r="AJ80">
        <v>66</v>
      </c>
      <c r="AK80" s="3">
        <f t="shared" si="48"/>
        <v>10.26438569206843</v>
      </c>
      <c r="AL80">
        <v>5</v>
      </c>
      <c r="AM80" s="3">
        <f t="shared" si="36"/>
        <v>0.77760497667185069</v>
      </c>
      <c r="AN80">
        <v>65</v>
      </c>
      <c r="AO80" s="3">
        <f t="shared" si="49"/>
        <v>10.108864696734059</v>
      </c>
      <c r="AP80">
        <v>13</v>
      </c>
      <c r="AQ80" s="3">
        <f t="shared" si="50"/>
        <v>2.0217729393468118</v>
      </c>
      <c r="AR80">
        <v>5</v>
      </c>
      <c r="AS80" s="3">
        <f t="shared" si="51"/>
        <v>0.77760497667185069</v>
      </c>
      <c r="AT80" t="s">
        <v>209</v>
      </c>
      <c r="AV80"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183.84848484848482</v>
      </c>
      <c r="AW80" s="13">
        <f>2*(Дума_одномандатный[[#This Row],[Майданов Денис Васильевич]]-(AB$124/100)*Дума_одномандатный[[#This Row],[Число действительных избирательных бюллетеней]])</f>
        <v>242.67999999999995</v>
      </c>
      <c r="AX80" s="13">
        <f>(Дума_одномандатный[[#This Row],[Вброс]]+Дума_одномандатный[[#This Row],[Перекладывание]])/2</f>
        <v>213.26424242424238</v>
      </c>
      <c r="AY80" s="13">
        <f>Дума_партии[[#This Row],[Зона ответственности в сен. 2022 г.]]</f>
        <v>0</v>
      </c>
    </row>
    <row r="81" spans="1:51" x14ac:dyDescent="0.4">
      <c r="A81" t="s">
        <v>49</v>
      </c>
      <c r="B81" t="s">
        <v>50</v>
      </c>
      <c r="C81" t="s">
        <v>51</v>
      </c>
      <c r="D81" t="s">
        <v>102</v>
      </c>
      <c r="E81" t="s">
        <v>182</v>
      </c>
      <c r="F81" s="1">
        <f t="shared" ca="1" si="37"/>
        <v>1821</v>
      </c>
      <c r="G81" s="1" t="str">
        <f>Дума_партии[[#This Row],[Местоположение]]</f>
        <v>Шустиково</v>
      </c>
      <c r="H81">
        <v>466</v>
      </c>
      <c r="I81" s="10">
        <f>Дума_одномандатный[[#This Row],[Число избирателей, внесенных в список избирателей на момент окончания голосования]]</f>
        <v>466</v>
      </c>
      <c r="J81">
        <v>500</v>
      </c>
      <c r="K81">
        <v>0</v>
      </c>
      <c r="L81">
        <v>177</v>
      </c>
      <c r="M81">
        <v>165</v>
      </c>
      <c r="N81" s="3">
        <f t="shared" si="38"/>
        <v>73.39055793991416</v>
      </c>
      <c r="O81" s="3">
        <f t="shared" si="39"/>
        <v>35.407725321888414</v>
      </c>
      <c r="P81">
        <v>158</v>
      </c>
      <c r="Q81">
        <v>165</v>
      </c>
      <c r="R81">
        <v>177</v>
      </c>
      <c r="S81" s="1">
        <f t="shared" si="40"/>
        <v>342</v>
      </c>
      <c r="T81" s="3">
        <f t="shared" si="41"/>
        <v>48.245614035087719</v>
      </c>
      <c r="U81">
        <v>27</v>
      </c>
      <c r="V81" s="3">
        <f t="shared" si="42"/>
        <v>7.8947368421052628</v>
      </c>
      <c r="W81">
        <v>315</v>
      </c>
      <c r="X81">
        <v>0</v>
      </c>
      <c r="Y81">
        <v>0</v>
      </c>
      <c r="Z81">
        <v>7</v>
      </c>
      <c r="AA81" s="3">
        <f t="shared" si="43"/>
        <v>2.0467836257309941</v>
      </c>
      <c r="AB81">
        <v>9</v>
      </c>
      <c r="AC81" s="3">
        <f t="shared" si="44"/>
        <v>2.6315789473684212</v>
      </c>
      <c r="AD81">
        <v>19</v>
      </c>
      <c r="AE81" s="3">
        <f t="shared" si="45"/>
        <v>5.5555555555555554</v>
      </c>
      <c r="AF81">
        <v>176</v>
      </c>
      <c r="AG81" s="3">
        <f t="shared" si="46"/>
        <v>51.461988304093566</v>
      </c>
      <c r="AH81">
        <v>21</v>
      </c>
      <c r="AI81" s="3">
        <f t="shared" si="47"/>
        <v>6.1403508771929829</v>
      </c>
      <c r="AJ81">
        <v>44</v>
      </c>
      <c r="AK81" s="3">
        <f t="shared" si="48"/>
        <v>12.865497076023392</v>
      </c>
      <c r="AL81">
        <v>3</v>
      </c>
      <c r="AM81" s="3">
        <f t="shared" si="36"/>
        <v>0.8771929824561403</v>
      </c>
      <c r="AN81">
        <v>30</v>
      </c>
      <c r="AO81" s="3">
        <f t="shared" si="49"/>
        <v>8.7719298245614041</v>
      </c>
      <c r="AP81">
        <v>3</v>
      </c>
      <c r="AQ81" s="3">
        <f t="shared" si="50"/>
        <v>0.8771929824561403</v>
      </c>
      <c r="AR81">
        <v>3</v>
      </c>
      <c r="AS81" s="3">
        <f t="shared" si="51"/>
        <v>0.8771929824561403</v>
      </c>
      <c r="AT81" t="s">
        <v>209</v>
      </c>
      <c r="AV81"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104.39393939393938</v>
      </c>
      <c r="AW81" s="13">
        <f>2*(Дума_одномандатный[[#This Row],[Майданов Денис Васильевич]]-(AB$124/100)*Дума_одномандатный[[#This Row],[Число действительных избирательных бюллетеней]])</f>
        <v>137.79999999999998</v>
      </c>
      <c r="AX81" s="13">
        <f>(Дума_одномандатный[[#This Row],[Вброс]]+Дума_одномандатный[[#This Row],[Перекладывание]])/2</f>
        <v>121.09696969696968</v>
      </c>
      <c r="AY81" s="13">
        <f>Дума_партии[[#This Row],[Зона ответственности в сен. 2022 г.]]</f>
        <v>0</v>
      </c>
    </row>
    <row r="82" spans="1:51" x14ac:dyDescent="0.4">
      <c r="A82" t="s">
        <v>49</v>
      </c>
      <c r="B82" t="s">
        <v>50</v>
      </c>
      <c r="C82" t="s">
        <v>51</v>
      </c>
      <c r="D82" t="s">
        <v>102</v>
      </c>
      <c r="E82" t="s">
        <v>183</v>
      </c>
      <c r="F82" s="1">
        <f t="shared" ca="1" si="37"/>
        <v>1822</v>
      </c>
      <c r="G82" s="1" t="str">
        <f>Дума_партии[[#This Row],[Местоположение]]</f>
        <v>Волчёнки</v>
      </c>
      <c r="H82">
        <v>749</v>
      </c>
      <c r="I82" s="10">
        <f>Дума_одномандатный[[#This Row],[Число избирателей, внесенных в список избирателей на момент окончания голосования]]</f>
        <v>749</v>
      </c>
      <c r="J82">
        <v>700</v>
      </c>
      <c r="K82">
        <v>0</v>
      </c>
      <c r="L82">
        <v>332</v>
      </c>
      <c r="M82">
        <v>59</v>
      </c>
      <c r="N82" s="3">
        <f t="shared" si="38"/>
        <v>52.202937249666221</v>
      </c>
      <c r="O82" s="3">
        <f t="shared" si="39"/>
        <v>7.8771695594125504</v>
      </c>
      <c r="P82">
        <v>309</v>
      </c>
      <c r="Q82">
        <v>59</v>
      </c>
      <c r="R82">
        <v>330</v>
      </c>
      <c r="S82" s="1">
        <f t="shared" si="40"/>
        <v>389</v>
      </c>
      <c r="T82" s="3">
        <f t="shared" si="41"/>
        <v>15.167095115681233</v>
      </c>
      <c r="U82">
        <v>45</v>
      </c>
      <c r="V82" s="3">
        <f t="shared" si="42"/>
        <v>11.568123393316196</v>
      </c>
      <c r="W82">
        <v>344</v>
      </c>
      <c r="X82">
        <v>0</v>
      </c>
      <c r="Y82">
        <v>0</v>
      </c>
      <c r="Z82">
        <v>11</v>
      </c>
      <c r="AA82" s="3">
        <f t="shared" si="43"/>
        <v>2.8277634961439588</v>
      </c>
      <c r="AB82">
        <v>11</v>
      </c>
      <c r="AC82" s="3">
        <f t="shared" si="44"/>
        <v>2.8277634961439588</v>
      </c>
      <c r="AD82">
        <v>13</v>
      </c>
      <c r="AE82" s="3">
        <f t="shared" si="45"/>
        <v>3.3419023136246788</v>
      </c>
      <c r="AF82">
        <v>153</v>
      </c>
      <c r="AG82" s="3">
        <f t="shared" si="46"/>
        <v>39.331619537275067</v>
      </c>
      <c r="AH82">
        <v>26</v>
      </c>
      <c r="AI82" s="3">
        <f t="shared" si="47"/>
        <v>6.6838046272493576</v>
      </c>
      <c r="AJ82">
        <v>40</v>
      </c>
      <c r="AK82" s="3">
        <f t="shared" si="48"/>
        <v>10.282776349614396</v>
      </c>
      <c r="AL82">
        <v>6</v>
      </c>
      <c r="AM82" s="3">
        <f t="shared" si="36"/>
        <v>1.5424164524421593</v>
      </c>
      <c r="AN82">
        <v>67</v>
      </c>
      <c r="AO82" s="3">
        <f t="shared" si="49"/>
        <v>17.223650385604113</v>
      </c>
      <c r="AP82">
        <v>11</v>
      </c>
      <c r="AQ82" s="3">
        <f t="shared" si="50"/>
        <v>2.8277634961439588</v>
      </c>
      <c r="AR82">
        <v>6</v>
      </c>
      <c r="AS82" s="3">
        <f t="shared" si="51"/>
        <v>1.5424164524421593</v>
      </c>
      <c r="AT82" t="s">
        <v>209</v>
      </c>
      <c r="AV82"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54.606060606060581</v>
      </c>
      <c r="AW82" s="13">
        <f>2*(Дума_одномандатный[[#This Row],[Майданов Денис Васильевич]]-(AB$124/100)*Дума_одномандатный[[#This Row],[Число действительных избирательных бюллетеней]])</f>
        <v>72.079999999999984</v>
      </c>
      <c r="AX82" s="13">
        <f>(Дума_одномандатный[[#This Row],[Вброс]]+Дума_одномандатный[[#This Row],[Перекладывание]])/2</f>
        <v>63.343030303030282</v>
      </c>
      <c r="AY82" s="13">
        <f>Дума_партии[[#This Row],[Зона ответственности в сен. 2022 г.]]</f>
        <v>0</v>
      </c>
    </row>
    <row r="83" spans="1:51" x14ac:dyDescent="0.4">
      <c r="A83" t="s">
        <v>49</v>
      </c>
      <c r="B83" t="s">
        <v>50</v>
      </c>
      <c r="C83" t="s">
        <v>51</v>
      </c>
      <c r="D83" t="s">
        <v>102</v>
      </c>
      <c r="E83" t="s">
        <v>184</v>
      </c>
      <c r="F83" s="1">
        <f t="shared" ca="1" si="37"/>
        <v>1823</v>
      </c>
      <c r="G83" s="1" t="str">
        <f>Дума_партии[[#This Row],[Местоположение]]</f>
        <v>Устье</v>
      </c>
      <c r="H83">
        <v>665</v>
      </c>
      <c r="I83" s="10">
        <f>Дума_одномандатный[[#This Row],[Число избирателей, внесенных в список избирателей на момент окончания голосования]]</f>
        <v>665</v>
      </c>
      <c r="J83">
        <v>600</v>
      </c>
      <c r="K83">
        <v>0</v>
      </c>
      <c r="L83">
        <v>276</v>
      </c>
      <c r="M83">
        <v>56</v>
      </c>
      <c r="N83" s="3">
        <f t="shared" si="38"/>
        <v>49.924812030075188</v>
      </c>
      <c r="O83" s="3">
        <f t="shared" si="39"/>
        <v>8.4210526315789469</v>
      </c>
      <c r="P83">
        <v>268</v>
      </c>
      <c r="Q83">
        <v>56</v>
      </c>
      <c r="R83">
        <v>276</v>
      </c>
      <c r="S83" s="1">
        <f t="shared" si="40"/>
        <v>332</v>
      </c>
      <c r="T83" s="3">
        <f t="shared" si="41"/>
        <v>16.867469879518072</v>
      </c>
      <c r="U83">
        <v>26</v>
      </c>
      <c r="V83" s="3">
        <f t="shared" si="42"/>
        <v>7.831325301204819</v>
      </c>
      <c r="W83">
        <v>306</v>
      </c>
      <c r="X83">
        <v>0</v>
      </c>
      <c r="Y83">
        <v>0</v>
      </c>
      <c r="Z83">
        <v>10</v>
      </c>
      <c r="AA83" s="3">
        <f t="shared" si="43"/>
        <v>3.0120481927710845</v>
      </c>
      <c r="AB83">
        <v>16</v>
      </c>
      <c r="AC83" s="3">
        <f t="shared" si="44"/>
        <v>4.8192771084337354</v>
      </c>
      <c r="AD83">
        <v>19</v>
      </c>
      <c r="AE83" s="3">
        <f t="shared" si="45"/>
        <v>5.7228915662650603</v>
      </c>
      <c r="AF83">
        <v>156</v>
      </c>
      <c r="AG83" s="3">
        <f t="shared" si="46"/>
        <v>46.987951807228917</v>
      </c>
      <c r="AH83">
        <v>21</v>
      </c>
      <c r="AI83" s="3">
        <f t="shared" si="47"/>
        <v>6.3253012048192767</v>
      </c>
      <c r="AJ83">
        <v>37</v>
      </c>
      <c r="AK83" s="3">
        <f t="shared" si="48"/>
        <v>11.144578313253012</v>
      </c>
      <c r="AL83">
        <v>3</v>
      </c>
      <c r="AM83" s="3">
        <f t="shared" si="36"/>
        <v>0.90361445783132532</v>
      </c>
      <c r="AN83">
        <v>33</v>
      </c>
      <c r="AO83" s="3">
        <f t="shared" si="49"/>
        <v>9.9397590361445776</v>
      </c>
      <c r="AP83">
        <v>9</v>
      </c>
      <c r="AQ83" s="3">
        <f t="shared" si="50"/>
        <v>2.7108433734939759</v>
      </c>
      <c r="AR83">
        <v>2</v>
      </c>
      <c r="AS83" s="3">
        <f t="shared" si="51"/>
        <v>0.60240963855421692</v>
      </c>
      <c r="AT83" t="s">
        <v>209</v>
      </c>
      <c r="AV83"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78.72727272727272</v>
      </c>
      <c r="AW83" s="13">
        <f>2*(Дума_одномандатный[[#This Row],[Майданов Денис Васильевич]]-(AB$124/100)*Дума_одномандатный[[#This Row],[Число действительных избирательных бюллетеней]])</f>
        <v>103.91999999999999</v>
      </c>
      <c r="AX83" s="13">
        <f>(Дума_одномандатный[[#This Row],[Вброс]]+Дума_одномандатный[[#This Row],[Перекладывание]])/2</f>
        <v>91.323636363636354</v>
      </c>
      <c r="AY83" s="13">
        <f>Дума_партии[[#This Row],[Зона ответственности в сен. 2022 г.]]</f>
        <v>0</v>
      </c>
    </row>
    <row r="84" spans="1:51" x14ac:dyDescent="0.4">
      <c r="A84" t="s">
        <v>49</v>
      </c>
      <c r="B84" t="s">
        <v>50</v>
      </c>
      <c r="C84" t="s">
        <v>51</v>
      </c>
      <c r="D84" t="s">
        <v>102</v>
      </c>
      <c r="E84" t="s">
        <v>185</v>
      </c>
      <c r="F84" s="1">
        <f t="shared" ca="1" si="37"/>
        <v>1824</v>
      </c>
      <c r="G84" s="1" t="str">
        <f>Дума_партии[[#This Row],[Местоположение]]</f>
        <v>пос. свх. Архангельский</v>
      </c>
      <c r="H84">
        <v>1092</v>
      </c>
      <c r="I84" s="10">
        <f>Дума_одномандатный[[#This Row],[Число избирателей, внесенных в список избирателей на момент окончания голосования]]</f>
        <v>1092</v>
      </c>
      <c r="J84">
        <v>1100</v>
      </c>
      <c r="K84">
        <v>0</v>
      </c>
      <c r="L84">
        <v>442</v>
      </c>
      <c r="M84">
        <v>72</v>
      </c>
      <c r="N84" s="3">
        <f t="shared" si="38"/>
        <v>47.069597069597073</v>
      </c>
      <c r="O84" s="3">
        <f t="shared" si="39"/>
        <v>6.5934065934065931</v>
      </c>
      <c r="P84">
        <v>586</v>
      </c>
      <c r="Q84">
        <v>72</v>
      </c>
      <c r="R84">
        <v>442</v>
      </c>
      <c r="S84" s="1">
        <f t="shared" si="40"/>
        <v>514</v>
      </c>
      <c r="T84" s="3">
        <f t="shared" si="41"/>
        <v>14.007782101167315</v>
      </c>
      <c r="U84">
        <v>16</v>
      </c>
      <c r="V84" s="3">
        <f t="shared" si="42"/>
        <v>3.1128404669260701</v>
      </c>
      <c r="W84">
        <v>498</v>
      </c>
      <c r="X84">
        <v>0</v>
      </c>
      <c r="Y84">
        <v>0</v>
      </c>
      <c r="Z84">
        <v>11</v>
      </c>
      <c r="AA84" s="3">
        <f t="shared" si="43"/>
        <v>2.1400778210116731</v>
      </c>
      <c r="AB84">
        <v>21</v>
      </c>
      <c r="AC84" s="3">
        <f t="shared" si="44"/>
        <v>4.0856031128404666</v>
      </c>
      <c r="AD84">
        <v>9</v>
      </c>
      <c r="AE84" s="3">
        <f t="shared" si="45"/>
        <v>1.7509727626459144</v>
      </c>
      <c r="AF84">
        <v>397</v>
      </c>
      <c r="AG84" s="3">
        <f t="shared" si="46"/>
        <v>77.237354085603116</v>
      </c>
      <c r="AH84">
        <v>14</v>
      </c>
      <c r="AI84" s="3">
        <f t="shared" si="47"/>
        <v>2.7237354085603114</v>
      </c>
      <c r="AJ84">
        <v>25</v>
      </c>
      <c r="AK84" s="3">
        <f t="shared" si="48"/>
        <v>4.863813229571984</v>
      </c>
      <c r="AL84">
        <v>1</v>
      </c>
      <c r="AM84" s="3">
        <f t="shared" si="36"/>
        <v>0.19455252918287938</v>
      </c>
      <c r="AN84">
        <v>15</v>
      </c>
      <c r="AO84" s="3">
        <f t="shared" si="49"/>
        <v>2.9182879377431905</v>
      </c>
      <c r="AP84">
        <v>3</v>
      </c>
      <c r="AQ84" s="3">
        <f t="shared" si="50"/>
        <v>0.58365758754863817</v>
      </c>
      <c r="AR84">
        <v>2</v>
      </c>
      <c r="AS84" s="3">
        <f t="shared" si="51"/>
        <v>0.38910505836575876</v>
      </c>
      <c r="AT84" t="s">
        <v>209</v>
      </c>
      <c r="AV84"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344.96969696969694</v>
      </c>
      <c r="AW84" s="13">
        <f>2*(Дума_одномандатный[[#This Row],[Майданов Денис Васильевич]]-(AB$124/100)*Дума_одномандатный[[#This Row],[Число действительных избирательных бюллетеней]])</f>
        <v>455.35999999999996</v>
      </c>
      <c r="AX84" s="13">
        <f>(Дума_одномандатный[[#This Row],[Вброс]]+Дума_одномандатный[[#This Row],[Перекладывание]])/2</f>
        <v>400.16484848484845</v>
      </c>
      <c r="AY84" s="13">
        <f>Дума_партии[[#This Row],[Зона ответственности в сен. 2022 г.]]</f>
        <v>0</v>
      </c>
    </row>
    <row r="85" spans="1:51" x14ac:dyDescent="0.4">
      <c r="A85" t="s">
        <v>49</v>
      </c>
      <c r="B85" t="s">
        <v>50</v>
      </c>
      <c r="C85" t="s">
        <v>51</v>
      </c>
      <c r="D85" t="s">
        <v>102</v>
      </c>
      <c r="E85" t="s">
        <v>186</v>
      </c>
      <c r="F85" s="1">
        <f t="shared" ca="1" si="37"/>
        <v>1825</v>
      </c>
      <c r="G85" s="1" t="str">
        <f>Дума_партии[[#This Row],[Местоположение]]</f>
        <v>Таширово</v>
      </c>
      <c r="H85">
        <v>2085</v>
      </c>
      <c r="I85" s="10">
        <f>Дума_одномандатный[[#This Row],[Число избирателей, внесенных в список избирателей на момент окончания голосования]]</f>
        <v>2085</v>
      </c>
      <c r="J85">
        <v>2000</v>
      </c>
      <c r="K85">
        <v>0</v>
      </c>
      <c r="L85">
        <v>596</v>
      </c>
      <c r="M85">
        <v>97</v>
      </c>
      <c r="N85" s="3">
        <f t="shared" si="38"/>
        <v>33.237410071942449</v>
      </c>
      <c r="O85" s="3">
        <f t="shared" si="39"/>
        <v>4.652278177458034</v>
      </c>
      <c r="P85">
        <v>1307</v>
      </c>
      <c r="Q85">
        <v>97</v>
      </c>
      <c r="R85">
        <v>596</v>
      </c>
      <c r="S85" s="1">
        <f t="shared" si="40"/>
        <v>693</v>
      </c>
      <c r="T85" s="3">
        <f t="shared" si="41"/>
        <v>13.997113997113997</v>
      </c>
      <c r="U85">
        <v>51</v>
      </c>
      <c r="V85" s="3">
        <f t="shared" si="42"/>
        <v>7.3593073593073592</v>
      </c>
      <c r="W85">
        <v>642</v>
      </c>
      <c r="X85">
        <v>0</v>
      </c>
      <c r="Y85">
        <v>0</v>
      </c>
      <c r="Z85">
        <v>29</v>
      </c>
      <c r="AA85" s="3">
        <f t="shared" si="43"/>
        <v>4.1847041847041844</v>
      </c>
      <c r="AB85">
        <v>49</v>
      </c>
      <c r="AC85" s="3">
        <f t="shared" si="44"/>
        <v>7.0707070707070709</v>
      </c>
      <c r="AD85">
        <v>39</v>
      </c>
      <c r="AE85" s="3">
        <f t="shared" si="45"/>
        <v>5.6277056277056277</v>
      </c>
      <c r="AF85">
        <v>232</v>
      </c>
      <c r="AG85" s="3">
        <f t="shared" si="46"/>
        <v>33.477633477633475</v>
      </c>
      <c r="AH85">
        <v>61</v>
      </c>
      <c r="AI85" s="3">
        <f t="shared" si="47"/>
        <v>8.8023088023088025</v>
      </c>
      <c r="AJ85">
        <v>56</v>
      </c>
      <c r="AK85" s="3">
        <f t="shared" si="48"/>
        <v>8.0808080808080813</v>
      </c>
      <c r="AL85">
        <v>14</v>
      </c>
      <c r="AM85" s="3">
        <f t="shared" si="36"/>
        <v>2.0202020202020203</v>
      </c>
      <c r="AN85">
        <v>110</v>
      </c>
      <c r="AO85" s="3">
        <f t="shared" si="49"/>
        <v>15.873015873015873</v>
      </c>
      <c r="AP85">
        <v>34</v>
      </c>
      <c r="AQ85" s="3">
        <f t="shared" si="50"/>
        <v>4.9062049062049065</v>
      </c>
      <c r="AR85">
        <v>18</v>
      </c>
      <c r="AS85" s="3">
        <f t="shared" si="51"/>
        <v>2.5974025974025974</v>
      </c>
      <c r="AT85" t="s">
        <v>209</v>
      </c>
      <c r="AV85"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20.787878787878753</v>
      </c>
      <c r="AW85" s="13">
        <f>2*(Дума_одномандатный[[#This Row],[Майданов Денис Васильевич]]-(AB$124/100)*Дума_одномандатный[[#This Row],[Число действительных избирательных бюллетеней]])</f>
        <v>27.439999999999941</v>
      </c>
      <c r="AX85" s="13">
        <f>(Дума_одномандатный[[#This Row],[Вброс]]+Дума_одномандатный[[#This Row],[Перекладывание]])/2</f>
        <v>24.113939393939347</v>
      </c>
      <c r="AY85" s="13">
        <f>Дума_партии[[#This Row],[Зона ответственности в сен. 2022 г.]]</f>
        <v>0</v>
      </c>
    </row>
    <row r="86" spans="1:51" x14ac:dyDescent="0.4">
      <c r="A86" t="s">
        <v>49</v>
      </c>
      <c r="B86" t="s">
        <v>50</v>
      </c>
      <c r="C86" t="s">
        <v>51</v>
      </c>
      <c r="D86" t="s">
        <v>102</v>
      </c>
      <c r="E86" t="s">
        <v>187</v>
      </c>
      <c r="F86" s="1">
        <f t="shared" ca="1" si="37"/>
        <v>1826</v>
      </c>
      <c r="G86" s="1" t="str">
        <f>Дума_партии[[#This Row],[Местоположение]]</f>
        <v>Васильчиново</v>
      </c>
      <c r="H86">
        <v>1263</v>
      </c>
      <c r="I86" s="10">
        <f>Дума_одномандатный[[#This Row],[Число избирателей, внесенных в список избирателей на момент окончания голосования]]</f>
        <v>1263</v>
      </c>
      <c r="J86">
        <v>1200</v>
      </c>
      <c r="K86">
        <v>0</v>
      </c>
      <c r="L86">
        <v>574</v>
      </c>
      <c r="M86">
        <v>49</v>
      </c>
      <c r="N86" s="3">
        <f t="shared" si="38"/>
        <v>49.326999208234362</v>
      </c>
      <c r="O86" s="3">
        <f t="shared" si="39"/>
        <v>3.8796516231195568</v>
      </c>
      <c r="P86">
        <v>577</v>
      </c>
      <c r="Q86">
        <v>49</v>
      </c>
      <c r="R86">
        <v>574</v>
      </c>
      <c r="S86" s="1">
        <f t="shared" si="40"/>
        <v>623</v>
      </c>
      <c r="T86" s="3">
        <f t="shared" si="41"/>
        <v>7.8651685393258424</v>
      </c>
      <c r="U86">
        <v>51</v>
      </c>
      <c r="V86" s="3">
        <f t="shared" si="42"/>
        <v>8.1861958266452657</v>
      </c>
      <c r="W86">
        <v>572</v>
      </c>
      <c r="X86">
        <v>0</v>
      </c>
      <c r="Y86">
        <v>0</v>
      </c>
      <c r="Z86">
        <v>16</v>
      </c>
      <c r="AA86" s="3">
        <f t="shared" si="43"/>
        <v>2.5682182985553772</v>
      </c>
      <c r="AB86">
        <v>32</v>
      </c>
      <c r="AC86" s="3">
        <f t="shared" si="44"/>
        <v>5.1364365971107544</v>
      </c>
      <c r="AD86">
        <v>38</v>
      </c>
      <c r="AE86" s="3">
        <f t="shared" si="45"/>
        <v>6.0995184590690208</v>
      </c>
      <c r="AF86">
        <v>258</v>
      </c>
      <c r="AG86" s="3">
        <f t="shared" si="46"/>
        <v>41.412520064205459</v>
      </c>
      <c r="AH86">
        <v>51</v>
      </c>
      <c r="AI86" s="3">
        <f t="shared" si="47"/>
        <v>8.1861958266452657</v>
      </c>
      <c r="AJ86">
        <v>50</v>
      </c>
      <c r="AK86" s="3">
        <f t="shared" si="48"/>
        <v>8.0256821829855536</v>
      </c>
      <c r="AL86">
        <v>6</v>
      </c>
      <c r="AM86" s="3">
        <f t="shared" si="36"/>
        <v>0.96308186195826651</v>
      </c>
      <c r="AN86">
        <v>80</v>
      </c>
      <c r="AO86" s="3">
        <f t="shared" si="49"/>
        <v>12.841091492776886</v>
      </c>
      <c r="AP86">
        <v>24</v>
      </c>
      <c r="AQ86" s="3">
        <f t="shared" si="50"/>
        <v>3.852327447833066</v>
      </c>
      <c r="AR86">
        <v>17</v>
      </c>
      <c r="AS86" s="3">
        <f t="shared" si="51"/>
        <v>2.7287319422150884</v>
      </c>
      <c r="AT86" t="s">
        <v>209</v>
      </c>
      <c r="AV86"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96.242424242424221</v>
      </c>
      <c r="AW86" s="13">
        <f>2*(Дума_одномандатный[[#This Row],[Майданов Денис Васильевич]]-(AB$124/100)*Дума_одномандатный[[#This Row],[Число действительных избирательных бюллетеней]])</f>
        <v>127.03999999999996</v>
      </c>
      <c r="AX86" s="13">
        <f>(Дума_одномандатный[[#This Row],[Вброс]]+Дума_одномандатный[[#This Row],[Перекладывание]])/2</f>
        <v>111.64121212121209</v>
      </c>
      <c r="AY86" s="13">
        <f>Дума_партии[[#This Row],[Зона ответственности в сен. 2022 г.]]</f>
        <v>0</v>
      </c>
    </row>
    <row r="87" spans="1:51" x14ac:dyDescent="0.4">
      <c r="A87" t="s">
        <v>49</v>
      </c>
      <c r="B87" t="s">
        <v>50</v>
      </c>
      <c r="C87" t="s">
        <v>51</v>
      </c>
      <c r="D87" t="s">
        <v>102</v>
      </c>
      <c r="E87" t="s">
        <v>188</v>
      </c>
      <c r="F87" s="1">
        <f t="shared" ca="1" si="37"/>
        <v>1827</v>
      </c>
      <c r="G87" s="1" t="str">
        <f>Дума_партии[[#This Row],[Местоположение]]</f>
        <v>Таширово</v>
      </c>
      <c r="H87">
        <v>582</v>
      </c>
      <c r="I87" s="10">
        <f>Дума_одномандатный[[#This Row],[Число избирателей, внесенных в список избирателей на момент окончания голосования]]</f>
        <v>582</v>
      </c>
      <c r="J87">
        <v>500</v>
      </c>
      <c r="K87">
        <v>0</v>
      </c>
      <c r="L87">
        <v>152</v>
      </c>
      <c r="M87">
        <v>130</v>
      </c>
      <c r="N87" s="3">
        <f t="shared" si="38"/>
        <v>48.453608247422679</v>
      </c>
      <c r="O87" s="3">
        <f t="shared" si="39"/>
        <v>22.336769759450171</v>
      </c>
      <c r="P87">
        <v>218</v>
      </c>
      <c r="Q87">
        <v>130</v>
      </c>
      <c r="R87">
        <v>152</v>
      </c>
      <c r="S87" s="1">
        <f t="shared" si="40"/>
        <v>282</v>
      </c>
      <c r="T87" s="3">
        <f t="shared" si="41"/>
        <v>46.099290780141843</v>
      </c>
      <c r="U87">
        <v>10</v>
      </c>
      <c r="V87" s="3">
        <f t="shared" si="42"/>
        <v>3.5460992907801416</v>
      </c>
      <c r="W87">
        <v>272</v>
      </c>
      <c r="X87">
        <v>0</v>
      </c>
      <c r="Y87">
        <v>0</v>
      </c>
      <c r="Z87">
        <v>11</v>
      </c>
      <c r="AA87" s="3">
        <f t="shared" si="43"/>
        <v>3.9007092198581561</v>
      </c>
      <c r="AB87">
        <v>9</v>
      </c>
      <c r="AC87" s="3">
        <f t="shared" si="44"/>
        <v>3.1914893617021276</v>
      </c>
      <c r="AD87">
        <v>12</v>
      </c>
      <c r="AE87" s="3">
        <f t="shared" si="45"/>
        <v>4.2553191489361701</v>
      </c>
      <c r="AF87">
        <v>155</v>
      </c>
      <c r="AG87" s="3">
        <f t="shared" si="46"/>
        <v>54.964539007092199</v>
      </c>
      <c r="AH87">
        <v>19</v>
      </c>
      <c r="AI87" s="3">
        <f t="shared" si="47"/>
        <v>6.7375886524822697</v>
      </c>
      <c r="AJ87">
        <v>16</v>
      </c>
      <c r="AK87" s="3">
        <f t="shared" si="48"/>
        <v>5.6737588652482271</v>
      </c>
      <c r="AL87">
        <v>5</v>
      </c>
      <c r="AM87" s="3">
        <f t="shared" si="36"/>
        <v>1.7730496453900708</v>
      </c>
      <c r="AN87">
        <v>30</v>
      </c>
      <c r="AO87" s="3">
        <f t="shared" si="49"/>
        <v>10.638297872340425</v>
      </c>
      <c r="AP87">
        <v>12</v>
      </c>
      <c r="AQ87" s="3">
        <f t="shared" si="50"/>
        <v>4.2553191489361701</v>
      </c>
      <c r="AR87">
        <v>3</v>
      </c>
      <c r="AS87" s="3">
        <f t="shared" si="51"/>
        <v>1.0638297872340425</v>
      </c>
      <c r="AT87" t="s">
        <v>209</v>
      </c>
      <c r="AV87"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94.72727272727272</v>
      </c>
      <c r="AW87" s="13">
        <f>2*(Дума_одномандатный[[#This Row],[Майданов Денис Васильевич]]-(AB$124/100)*Дума_одномандатный[[#This Row],[Число действительных избирательных бюллетеней]])</f>
        <v>125.03999999999999</v>
      </c>
      <c r="AX87" s="13">
        <f>(Дума_одномандатный[[#This Row],[Вброс]]+Дума_одномандатный[[#This Row],[Перекладывание]])/2</f>
        <v>109.88363636363636</v>
      </c>
      <c r="AY87" s="13">
        <f>Дума_партии[[#This Row],[Зона ответственности в сен. 2022 г.]]</f>
        <v>0</v>
      </c>
    </row>
    <row r="88" spans="1:51" x14ac:dyDescent="0.4">
      <c r="A88" t="s">
        <v>49</v>
      </c>
      <c r="B88" t="s">
        <v>50</v>
      </c>
      <c r="C88" t="s">
        <v>51</v>
      </c>
      <c r="D88" t="s">
        <v>102</v>
      </c>
      <c r="E88" t="s">
        <v>189</v>
      </c>
      <c r="F88" s="1">
        <f t="shared" ca="1" si="37"/>
        <v>1828</v>
      </c>
      <c r="G88" s="1" t="str">
        <f>Дума_партии[[#This Row],[Местоположение]]</f>
        <v>Головково</v>
      </c>
      <c r="H88">
        <v>1207</v>
      </c>
      <c r="I88" s="10">
        <f>Дума_одномандатный[[#This Row],[Число избирателей, внесенных в список избирателей на момент окончания голосования]]</f>
        <v>1207</v>
      </c>
      <c r="J88">
        <v>1200</v>
      </c>
      <c r="K88">
        <v>0</v>
      </c>
      <c r="L88">
        <v>458</v>
      </c>
      <c r="M88">
        <v>170</v>
      </c>
      <c r="N88" s="3">
        <f t="shared" si="38"/>
        <v>52.029826014913006</v>
      </c>
      <c r="O88" s="3">
        <f t="shared" si="39"/>
        <v>14.084507042253522</v>
      </c>
      <c r="P88">
        <v>572</v>
      </c>
      <c r="Q88">
        <v>170</v>
      </c>
      <c r="R88">
        <v>458</v>
      </c>
      <c r="S88" s="1">
        <f t="shared" si="40"/>
        <v>628</v>
      </c>
      <c r="T88" s="3">
        <f t="shared" si="41"/>
        <v>27.070063694267517</v>
      </c>
      <c r="U88">
        <v>38</v>
      </c>
      <c r="V88" s="3">
        <f t="shared" si="42"/>
        <v>6.0509554140127388</v>
      </c>
      <c r="W88">
        <v>590</v>
      </c>
      <c r="X88">
        <v>0</v>
      </c>
      <c r="Y88">
        <v>0</v>
      </c>
      <c r="Z88">
        <v>29</v>
      </c>
      <c r="AA88" s="3">
        <f t="shared" si="43"/>
        <v>4.6178343949044587</v>
      </c>
      <c r="AB88">
        <v>42</v>
      </c>
      <c r="AC88" s="3">
        <f t="shared" si="44"/>
        <v>6.6878980891719744</v>
      </c>
      <c r="AD88">
        <v>27</v>
      </c>
      <c r="AE88" s="3">
        <f t="shared" si="45"/>
        <v>4.2993630573248405</v>
      </c>
      <c r="AF88">
        <v>257</v>
      </c>
      <c r="AG88" s="3">
        <f t="shared" si="46"/>
        <v>40.923566878980893</v>
      </c>
      <c r="AH88">
        <v>57</v>
      </c>
      <c r="AI88" s="3">
        <f t="shared" si="47"/>
        <v>9.0764331210191092</v>
      </c>
      <c r="AJ88">
        <v>52</v>
      </c>
      <c r="AK88" s="3">
        <f t="shared" si="48"/>
        <v>8.2802547770700645</v>
      </c>
      <c r="AL88">
        <v>8</v>
      </c>
      <c r="AM88" s="3">
        <f t="shared" si="36"/>
        <v>1.2738853503184713</v>
      </c>
      <c r="AN88">
        <v>66</v>
      </c>
      <c r="AO88" s="3">
        <f t="shared" si="49"/>
        <v>10.509554140127388</v>
      </c>
      <c r="AP88">
        <v>29</v>
      </c>
      <c r="AQ88" s="3">
        <f t="shared" si="50"/>
        <v>4.6178343949044587</v>
      </c>
      <c r="AR88">
        <v>23</v>
      </c>
      <c r="AS88" s="3">
        <f t="shared" si="51"/>
        <v>3.6624203821656049</v>
      </c>
      <c r="AT88" t="s">
        <v>209</v>
      </c>
      <c r="AV88"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85.454545454545411</v>
      </c>
      <c r="AW88" s="13">
        <f>2*(Дума_одномандатный[[#This Row],[Майданов Денис Васильевич]]-(AB$124/100)*Дума_одномандатный[[#This Row],[Число действительных избирательных бюллетеней]])</f>
        <v>112.79999999999995</v>
      </c>
      <c r="AX88" s="13">
        <f>(Дума_одномандатный[[#This Row],[Вброс]]+Дума_одномандатный[[#This Row],[Перекладывание]])/2</f>
        <v>99.127272727272683</v>
      </c>
      <c r="AY88" s="13">
        <f>Дума_партии[[#This Row],[Зона ответственности в сен. 2022 г.]]</f>
        <v>0</v>
      </c>
    </row>
    <row r="89" spans="1:51" x14ac:dyDescent="0.4">
      <c r="A89" t="s">
        <v>49</v>
      </c>
      <c r="B89" t="s">
        <v>50</v>
      </c>
      <c r="C89" t="s">
        <v>51</v>
      </c>
      <c r="D89" t="s">
        <v>102</v>
      </c>
      <c r="E89" t="s">
        <v>190</v>
      </c>
      <c r="F89" s="1">
        <f t="shared" ca="1" si="37"/>
        <v>3873</v>
      </c>
      <c r="G89" s="1" t="str">
        <f>Дума_партии[[#This Row],[Местоположение]]</f>
        <v>Наро-Фоминск</v>
      </c>
      <c r="H89">
        <v>1548</v>
      </c>
      <c r="I89" s="10">
        <f>Дума_одномандатный[[#This Row],[Число избирателей, внесенных в список избирателей на момент окончания голосования]]</f>
        <v>1548</v>
      </c>
      <c r="J89">
        <v>1500</v>
      </c>
      <c r="K89">
        <v>0</v>
      </c>
      <c r="L89">
        <v>538</v>
      </c>
      <c r="M89">
        <v>12</v>
      </c>
      <c r="N89" s="3">
        <f t="shared" si="38"/>
        <v>35.529715762273902</v>
      </c>
      <c r="O89" s="3">
        <f t="shared" si="39"/>
        <v>0.77519379844961245</v>
      </c>
      <c r="P89">
        <v>950</v>
      </c>
      <c r="Q89">
        <v>12</v>
      </c>
      <c r="R89">
        <v>530</v>
      </c>
      <c r="S89" s="1">
        <f t="shared" si="40"/>
        <v>542</v>
      </c>
      <c r="T89" s="3">
        <f t="shared" si="41"/>
        <v>2.2140221402214024</v>
      </c>
      <c r="U89">
        <v>41</v>
      </c>
      <c r="V89" s="3">
        <f t="shared" si="42"/>
        <v>7.5645756457564577</v>
      </c>
      <c r="W89">
        <v>501</v>
      </c>
      <c r="X89">
        <v>0</v>
      </c>
      <c r="Y89">
        <v>0</v>
      </c>
      <c r="Z89">
        <v>23</v>
      </c>
      <c r="AA89" s="3">
        <f t="shared" si="43"/>
        <v>4.2435424354243541</v>
      </c>
      <c r="AB89">
        <v>23</v>
      </c>
      <c r="AC89" s="3">
        <f t="shared" si="44"/>
        <v>4.2435424354243541</v>
      </c>
      <c r="AD89">
        <v>35</v>
      </c>
      <c r="AE89" s="3">
        <f t="shared" si="45"/>
        <v>6.4575645756457565</v>
      </c>
      <c r="AF89">
        <v>171</v>
      </c>
      <c r="AG89" s="3">
        <f t="shared" si="46"/>
        <v>31.549815498154981</v>
      </c>
      <c r="AH89">
        <v>49</v>
      </c>
      <c r="AI89" s="3">
        <f t="shared" si="47"/>
        <v>9.0405904059040587</v>
      </c>
      <c r="AJ89">
        <v>48</v>
      </c>
      <c r="AK89" s="3">
        <f t="shared" si="48"/>
        <v>8.8560885608856097</v>
      </c>
      <c r="AL89">
        <v>8</v>
      </c>
      <c r="AM89" s="3">
        <f t="shared" si="36"/>
        <v>1.4760147601476015</v>
      </c>
      <c r="AN89">
        <v>104</v>
      </c>
      <c r="AO89" s="3">
        <f t="shared" si="49"/>
        <v>19.188191881918819</v>
      </c>
      <c r="AP89">
        <v>26</v>
      </c>
      <c r="AQ89" s="3">
        <f t="shared" si="50"/>
        <v>4.7970479704797047</v>
      </c>
      <c r="AR89">
        <v>14</v>
      </c>
      <c r="AS89" s="3">
        <f t="shared" si="51"/>
        <v>2.5830258302583027</v>
      </c>
      <c r="AT89" t="s">
        <v>209</v>
      </c>
      <c r="AV89"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0.99999999999997158</v>
      </c>
      <c r="AW89" s="13">
        <f>2*(Дума_одномандатный[[#This Row],[Майданов Денис Васильевич]]-(AB$124/100)*Дума_одномандатный[[#This Row],[Число действительных избирательных бюллетеней]])</f>
        <v>1.3199999999999932</v>
      </c>
      <c r="AX89" s="13">
        <f>(Дума_одномандатный[[#This Row],[Вброс]]+Дума_одномандатный[[#This Row],[Перекладывание]])/2</f>
        <v>1.1599999999999824</v>
      </c>
      <c r="AY89" s="13">
        <f>Дума_партии[[#This Row],[Зона ответственности в сен. 2022 г.]]</f>
        <v>0</v>
      </c>
    </row>
    <row r="90" spans="1:51" x14ac:dyDescent="0.4">
      <c r="A90" t="s">
        <v>49</v>
      </c>
      <c r="B90" t="s">
        <v>50</v>
      </c>
      <c r="C90" t="s">
        <v>51</v>
      </c>
      <c r="D90" t="s">
        <v>102</v>
      </c>
      <c r="E90" t="s">
        <v>191</v>
      </c>
      <c r="F90" s="1">
        <f t="shared" ca="1" si="37"/>
        <v>3874</v>
      </c>
      <c r="G90" s="1" t="str">
        <f>Дума_партии[[#This Row],[Местоположение]]</f>
        <v>Наро-Фоминск</v>
      </c>
      <c r="H90">
        <v>961</v>
      </c>
      <c r="I90" s="10">
        <f>Дума_одномандатный[[#This Row],[Число избирателей, внесенных в список избирателей на момент окончания голосования]]</f>
        <v>961</v>
      </c>
      <c r="J90">
        <v>900</v>
      </c>
      <c r="K90">
        <v>0</v>
      </c>
      <c r="L90">
        <v>374</v>
      </c>
      <c r="M90">
        <v>11</v>
      </c>
      <c r="N90" s="3">
        <f t="shared" si="38"/>
        <v>40.062434963579605</v>
      </c>
      <c r="O90" s="3">
        <f t="shared" si="39"/>
        <v>1.1446409989594173</v>
      </c>
      <c r="P90">
        <v>515</v>
      </c>
      <c r="Q90">
        <v>11</v>
      </c>
      <c r="R90">
        <v>374</v>
      </c>
      <c r="S90" s="1">
        <f t="shared" si="40"/>
        <v>385</v>
      </c>
      <c r="T90" s="3">
        <f t="shared" si="41"/>
        <v>2.8571428571428572</v>
      </c>
      <c r="U90">
        <v>33</v>
      </c>
      <c r="V90" s="3">
        <f t="shared" si="42"/>
        <v>8.5714285714285712</v>
      </c>
      <c r="W90">
        <v>352</v>
      </c>
      <c r="X90">
        <v>0</v>
      </c>
      <c r="Y90">
        <v>0</v>
      </c>
      <c r="Z90">
        <v>11</v>
      </c>
      <c r="AA90" s="3">
        <f t="shared" si="43"/>
        <v>2.8571428571428572</v>
      </c>
      <c r="AB90">
        <v>28</v>
      </c>
      <c r="AC90" s="3">
        <f t="shared" si="44"/>
        <v>7.2727272727272725</v>
      </c>
      <c r="AD90">
        <v>24</v>
      </c>
      <c r="AE90" s="3">
        <f t="shared" si="45"/>
        <v>6.2337662337662341</v>
      </c>
      <c r="AF90">
        <v>132</v>
      </c>
      <c r="AG90" s="3">
        <f t="shared" si="46"/>
        <v>34.285714285714285</v>
      </c>
      <c r="AH90">
        <v>40</v>
      </c>
      <c r="AI90" s="3">
        <f t="shared" si="47"/>
        <v>10.38961038961039</v>
      </c>
      <c r="AJ90">
        <v>37</v>
      </c>
      <c r="AK90" s="3">
        <f t="shared" si="48"/>
        <v>9.6103896103896105</v>
      </c>
      <c r="AL90">
        <v>3</v>
      </c>
      <c r="AM90" s="3">
        <f t="shared" si="36"/>
        <v>0.77922077922077926</v>
      </c>
      <c r="AN90">
        <v>51</v>
      </c>
      <c r="AO90" s="3">
        <f t="shared" si="49"/>
        <v>13.246753246753247</v>
      </c>
      <c r="AP90">
        <v>17</v>
      </c>
      <c r="AQ90" s="3">
        <f t="shared" si="50"/>
        <v>4.4155844155844157</v>
      </c>
      <c r="AR90">
        <v>9</v>
      </c>
      <c r="AS90" s="3">
        <f t="shared" si="51"/>
        <v>2.3376623376623376</v>
      </c>
      <c r="AT90" t="s">
        <v>209</v>
      </c>
      <c r="AV90"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18.666666666666643</v>
      </c>
      <c r="AW90" s="13">
        <f>2*(Дума_одномандатный[[#This Row],[Майданов Денис Васильевич]]-(AB$124/100)*Дума_одномандатный[[#This Row],[Число действительных избирательных бюллетеней]])</f>
        <v>24.639999999999986</v>
      </c>
      <c r="AX90" s="13">
        <f>(Дума_одномандатный[[#This Row],[Вброс]]+Дума_одномандатный[[#This Row],[Перекладывание]])/2</f>
        <v>21.653333333333315</v>
      </c>
      <c r="AY90" s="13">
        <f>Дума_партии[[#This Row],[Зона ответственности в сен. 2022 г.]]</f>
        <v>0</v>
      </c>
    </row>
    <row r="91" spans="1:51" x14ac:dyDescent="0.4">
      <c r="A91" t="s">
        <v>49</v>
      </c>
      <c r="B91" t="s">
        <v>50</v>
      </c>
      <c r="C91" t="s">
        <v>51</v>
      </c>
      <c r="D91" t="s">
        <v>102</v>
      </c>
      <c r="E91" t="s">
        <v>192</v>
      </c>
      <c r="F91" s="1">
        <f t="shared" ca="1" si="37"/>
        <v>3875</v>
      </c>
      <c r="G91" s="1" t="str">
        <f>Дума_партии[[#This Row],[Местоположение]]</f>
        <v>Наро-Фоминск</v>
      </c>
      <c r="H91">
        <v>1130</v>
      </c>
      <c r="I91" s="10">
        <f>Дума_одномандатный[[#This Row],[Число избирателей, внесенных в список избирателей на момент окончания голосования]]</f>
        <v>1130</v>
      </c>
      <c r="J91">
        <v>1100</v>
      </c>
      <c r="K91">
        <v>0</v>
      </c>
      <c r="L91">
        <v>362</v>
      </c>
      <c r="M91">
        <v>10</v>
      </c>
      <c r="N91" s="3">
        <f t="shared" si="38"/>
        <v>32.920353982300888</v>
      </c>
      <c r="O91" s="3">
        <f t="shared" si="39"/>
        <v>0.88495575221238942</v>
      </c>
      <c r="P91">
        <v>728</v>
      </c>
      <c r="Q91">
        <v>10</v>
      </c>
      <c r="R91">
        <v>362</v>
      </c>
      <c r="S91" s="1">
        <f t="shared" si="40"/>
        <v>372</v>
      </c>
      <c r="T91" s="3">
        <f t="shared" si="41"/>
        <v>2.6881720430107525</v>
      </c>
      <c r="U91">
        <v>13</v>
      </c>
      <c r="V91" s="3">
        <f t="shared" si="42"/>
        <v>3.4946236559139785</v>
      </c>
      <c r="W91">
        <v>359</v>
      </c>
      <c r="X91">
        <v>0</v>
      </c>
      <c r="Y91">
        <v>0</v>
      </c>
      <c r="Z91">
        <v>14</v>
      </c>
      <c r="AA91" s="3">
        <f t="shared" si="43"/>
        <v>3.763440860215054</v>
      </c>
      <c r="AB91">
        <v>24</v>
      </c>
      <c r="AC91" s="3">
        <f t="shared" si="44"/>
        <v>6.4516129032258061</v>
      </c>
      <c r="AD91">
        <v>22</v>
      </c>
      <c r="AE91" s="3">
        <f t="shared" si="45"/>
        <v>5.913978494623656</v>
      </c>
      <c r="AF91">
        <v>143</v>
      </c>
      <c r="AG91" s="3">
        <f t="shared" si="46"/>
        <v>38.44086021505376</v>
      </c>
      <c r="AH91">
        <v>30</v>
      </c>
      <c r="AI91" s="3">
        <f t="shared" si="47"/>
        <v>8.064516129032258</v>
      </c>
      <c r="AJ91">
        <v>32</v>
      </c>
      <c r="AK91" s="3">
        <f t="shared" si="48"/>
        <v>8.6021505376344081</v>
      </c>
      <c r="AL91">
        <v>3</v>
      </c>
      <c r="AM91" s="3">
        <f t="shared" si="36"/>
        <v>0.80645161290322576</v>
      </c>
      <c r="AN91">
        <v>65</v>
      </c>
      <c r="AO91" s="3">
        <f t="shared" si="49"/>
        <v>17.473118279569892</v>
      </c>
      <c r="AP91">
        <v>16</v>
      </c>
      <c r="AQ91" s="3">
        <f t="shared" si="50"/>
        <v>4.301075268817204</v>
      </c>
      <c r="AR91">
        <v>10</v>
      </c>
      <c r="AS91" s="3">
        <f t="shared" si="51"/>
        <v>2.6881720430107525</v>
      </c>
      <c r="AT91" t="s">
        <v>209</v>
      </c>
      <c r="AV91"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31.727272727272705</v>
      </c>
      <c r="AW91" s="13">
        <f>2*(Дума_одномандатный[[#This Row],[Майданов Денис Васильевич]]-(AB$124/100)*Дума_одномандатный[[#This Row],[Число действительных избирательных бюллетеней]])</f>
        <v>41.879999999999995</v>
      </c>
      <c r="AX91" s="13">
        <f>(Дума_одномандатный[[#This Row],[Вброс]]+Дума_одномандатный[[#This Row],[Перекладывание]])/2</f>
        <v>36.80363636363635</v>
      </c>
      <c r="AY91" s="13">
        <f>Дума_партии[[#This Row],[Зона ответственности в сен. 2022 г.]]</f>
        <v>0</v>
      </c>
    </row>
    <row r="92" spans="1:51" x14ac:dyDescent="0.4">
      <c r="A92" t="s">
        <v>49</v>
      </c>
      <c r="B92" t="s">
        <v>50</v>
      </c>
      <c r="C92" t="s">
        <v>51</v>
      </c>
      <c r="D92" t="s">
        <v>102</v>
      </c>
      <c r="E92" t="s">
        <v>193</v>
      </c>
      <c r="F92" s="1">
        <f t="shared" ca="1" si="37"/>
        <v>3876</v>
      </c>
      <c r="G92" s="1" t="str">
        <f>Дума_партии[[#This Row],[Местоположение]]</f>
        <v>Наро-Фоминск</v>
      </c>
      <c r="H92">
        <v>965</v>
      </c>
      <c r="I92" s="10">
        <f>Дума_одномандатный[[#This Row],[Число избирателей, внесенных в список избирателей на момент окончания голосования]]</f>
        <v>965</v>
      </c>
      <c r="J92">
        <v>900</v>
      </c>
      <c r="K92">
        <v>0</v>
      </c>
      <c r="L92">
        <v>361</v>
      </c>
      <c r="M92">
        <v>11</v>
      </c>
      <c r="N92" s="3">
        <f t="shared" si="38"/>
        <v>38.549222797927463</v>
      </c>
      <c r="O92" s="3">
        <f t="shared" si="39"/>
        <v>1.1398963730569949</v>
      </c>
      <c r="P92">
        <v>527</v>
      </c>
      <c r="Q92">
        <v>11</v>
      </c>
      <c r="R92">
        <v>361</v>
      </c>
      <c r="S92" s="1">
        <f t="shared" si="40"/>
        <v>372</v>
      </c>
      <c r="T92" s="3">
        <f t="shared" si="41"/>
        <v>2.956989247311828</v>
      </c>
      <c r="U92">
        <v>34</v>
      </c>
      <c r="V92" s="3">
        <f t="shared" si="42"/>
        <v>9.1397849462365599</v>
      </c>
      <c r="W92">
        <v>338</v>
      </c>
      <c r="X92">
        <v>1</v>
      </c>
      <c r="Y92">
        <v>0</v>
      </c>
      <c r="Z92">
        <v>15</v>
      </c>
      <c r="AA92" s="3">
        <f t="shared" si="43"/>
        <v>4.032258064516129</v>
      </c>
      <c r="AB92">
        <v>19</v>
      </c>
      <c r="AC92" s="3">
        <f t="shared" si="44"/>
        <v>5.10752688172043</v>
      </c>
      <c r="AD92">
        <v>27</v>
      </c>
      <c r="AE92" s="3">
        <f t="shared" si="45"/>
        <v>7.258064516129032</v>
      </c>
      <c r="AF92">
        <v>112</v>
      </c>
      <c r="AG92" s="3">
        <f t="shared" si="46"/>
        <v>30.107526881720432</v>
      </c>
      <c r="AH92">
        <v>38</v>
      </c>
      <c r="AI92" s="3">
        <f t="shared" si="47"/>
        <v>10.21505376344086</v>
      </c>
      <c r="AJ92">
        <v>41</v>
      </c>
      <c r="AK92" s="3">
        <f t="shared" si="48"/>
        <v>11.021505376344086</v>
      </c>
      <c r="AL92">
        <v>9</v>
      </c>
      <c r="AM92" s="3">
        <f t="shared" si="36"/>
        <v>2.4193548387096775</v>
      </c>
      <c r="AN92">
        <v>55</v>
      </c>
      <c r="AO92" s="3">
        <f t="shared" si="49"/>
        <v>14.78494623655914</v>
      </c>
      <c r="AP92">
        <v>13</v>
      </c>
      <c r="AQ92" s="3">
        <f t="shared" si="50"/>
        <v>3.4946236559139785</v>
      </c>
      <c r="AR92">
        <v>9</v>
      </c>
      <c r="AS92" s="3">
        <f t="shared" si="51"/>
        <v>2.4193548387096775</v>
      </c>
      <c r="AT92" t="s">
        <v>209</v>
      </c>
      <c r="AV92"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-4.4242424242424505</v>
      </c>
      <c r="AW92" s="13">
        <f>2*(Дума_одномандатный[[#This Row],[Майданов Денис Васильевич]]-(AB$124/100)*Дума_одномандатный[[#This Row],[Число действительных избирательных бюллетеней]])</f>
        <v>-5.8400000000000034</v>
      </c>
      <c r="AX92" s="13">
        <f>(Дума_одномандатный[[#This Row],[Вброс]]+Дума_одномандатный[[#This Row],[Перекладывание]])/2</f>
        <v>-5.132121212121227</v>
      </c>
      <c r="AY92" s="13">
        <f>Дума_партии[[#This Row],[Зона ответственности в сен. 2022 г.]]</f>
        <v>0</v>
      </c>
    </row>
    <row r="93" spans="1:51" x14ac:dyDescent="0.4">
      <c r="A93" t="s">
        <v>49</v>
      </c>
      <c r="B93" t="s">
        <v>50</v>
      </c>
      <c r="C93" t="s">
        <v>51</v>
      </c>
      <c r="D93" t="s">
        <v>102</v>
      </c>
      <c r="E93" t="s">
        <v>194</v>
      </c>
      <c r="F93" s="1">
        <f t="shared" ca="1" si="37"/>
        <v>3877</v>
      </c>
      <c r="G93" s="1" t="str">
        <f>Дума_партии[[#This Row],[Местоположение]]</f>
        <v>Наро-Фоминск</v>
      </c>
      <c r="H93">
        <v>1280</v>
      </c>
      <c r="I93" s="10">
        <f>Дума_одномандатный[[#This Row],[Число избирателей, внесенных в список избирателей на момент окончания голосования]]</f>
        <v>1280</v>
      </c>
      <c r="J93">
        <v>1400</v>
      </c>
      <c r="K93">
        <v>0</v>
      </c>
      <c r="L93">
        <v>703</v>
      </c>
      <c r="M93">
        <v>3</v>
      </c>
      <c r="N93" s="3">
        <f t="shared" si="38"/>
        <v>55.15625</v>
      </c>
      <c r="O93" s="3">
        <f t="shared" si="39"/>
        <v>0.234375</v>
      </c>
      <c r="P93">
        <v>694</v>
      </c>
      <c r="Q93">
        <v>0</v>
      </c>
      <c r="R93">
        <v>703</v>
      </c>
      <c r="S93" s="1">
        <f t="shared" si="40"/>
        <v>703</v>
      </c>
      <c r="T93" s="3">
        <f t="shared" si="41"/>
        <v>0</v>
      </c>
      <c r="U93">
        <v>29</v>
      </c>
      <c r="V93" s="3">
        <f t="shared" si="42"/>
        <v>4.1251778093883358</v>
      </c>
      <c r="W93">
        <v>674</v>
      </c>
      <c r="X93">
        <v>0</v>
      </c>
      <c r="Y93">
        <v>0</v>
      </c>
      <c r="Z93">
        <v>16</v>
      </c>
      <c r="AA93" s="3">
        <f t="shared" si="43"/>
        <v>2.275960170697013</v>
      </c>
      <c r="AB93">
        <v>18</v>
      </c>
      <c r="AC93" s="3">
        <f t="shared" si="44"/>
        <v>2.5604551920341394</v>
      </c>
      <c r="AD93">
        <v>26</v>
      </c>
      <c r="AE93" s="3">
        <f t="shared" si="45"/>
        <v>3.6984352773826457</v>
      </c>
      <c r="AF93">
        <v>406</v>
      </c>
      <c r="AG93" s="3">
        <f t="shared" si="46"/>
        <v>57.752489331436699</v>
      </c>
      <c r="AH93">
        <v>38</v>
      </c>
      <c r="AI93" s="3">
        <f t="shared" si="47"/>
        <v>5.4054054054054053</v>
      </c>
      <c r="AJ93">
        <v>35</v>
      </c>
      <c r="AK93" s="3">
        <f t="shared" si="48"/>
        <v>4.9786628733997151</v>
      </c>
      <c r="AL93">
        <v>7</v>
      </c>
      <c r="AM93" s="3">
        <f t="shared" si="36"/>
        <v>0.99573257467994314</v>
      </c>
      <c r="AN93">
        <v>81</v>
      </c>
      <c r="AO93" s="3">
        <f t="shared" si="49"/>
        <v>11.522048364153628</v>
      </c>
      <c r="AP93">
        <v>31</v>
      </c>
      <c r="AQ93" s="3">
        <f t="shared" si="50"/>
        <v>4.4096728307254622</v>
      </c>
      <c r="AR93">
        <v>16</v>
      </c>
      <c r="AS93" s="3">
        <f t="shared" si="51"/>
        <v>2.275960170697013</v>
      </c>
      <c r="AT93" t="s">
        <v>209</v>
      </c>
      <c r="AV93"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267.93939393939388</v>
      </c>
      <c r="AW93" s="13">
        <f>2*(Дума_одномандатный[[#This Row],[Майданов Денис Васильевич]]-(AB$124/100)*Дума_одномандатный[[#This Row],[Число действительных избирательных бюллетеней]])</f>
        <v>353.67999999999995</v>
      </c>
      <c r="AX93" s="13">
        <f>(Дума_одномандатный[[#This Row],[Вброс]]+Дума_одномандатный[[#This Row],[Перекладывание]])/2</f>
        <v>310.80969696969692</v>
      </c>
      <c r="AY93" s="13">
        <f>Дума_партии[[#This Row],[Зона ответственности в сен. 2022 г.]]</f>
        <v>0</v>
      </c>
    </row>
    <row r="94" spans="1:51" x14ac:dyDescent="0.4">
      <c r="A94" t="s">
        <v>49</v>
      </c>
      <c r="B94" t="s">
        <v>50</v>
      </c>
      <c r="C94" t="s">
        <v>51</v>
      </c>
      <c r="D94" t="s">
        <v>102</v>
      </c>
      <c r="E94" t="s">
        <v>195</v>
      </c>
      <c r="F94" s="1">
        <f t="shared" ca="1" si="37"/>
        <v>3878</v>
      </c>
      <c r="G94" s="1" t="str">
        <f>Дума_партии[[#This Row],[Местоположение]]</f>
        <v>Наро-Фоминск</v>
      </c>
      <c r="H94">
        <v>1312</v>
      </c>
      <c r="I94" s="10">
        <f>Дума_одномандатный[[#This Row],[Число избирателей, внесенных в список избирателей на момент окончания голосования]]</f>
        <v>1312</v>
      </c>
      <c r="J94">
        <v>1300</v>
      </c>
      <c r="K94">
        <v>0</v>
      </c>
      <c r="L94">
        <v>493</v>
      </c>
      <c r="M94">
        <v>23</v>
      </c>
      <c r="N94" s="3">
        <f t="shared" si="38"/>
        <v>39.329268292682926</v>
      </c>
      <c r="O94" s="3">
        <f t="shared" si="39"/>
        <v>1.7530487804878048</v>
      </c>
      <c r="P94">
        <v>784</v>
      </c>
      <c r="Q94">
        <v>23</v>
      </c>
      <c r="R94">
        <v>493</v>
      </c>
      <c r="S94" s="1">
        <f t="shared" si="40"/>
        <v>516</v>
      </c>
      <c r="T94" s="3">
        <f t="shared" si="41"/>
        <v>4.4573643410852712</v>
      </c>
      <c r="U94">
        <v>50</v>
      </c>
      <c r="V94" s="3">
        <f t="shared" si="42"/>
        <v>9.6899224806201545</v>
      </c>
      <c r="W94">
        <v>466</v>
      </c>
      <c r="X94">
        <v>0</v>
      </c>
      <c r="Y94">
        <v>0</v>
      </c>
      <c r="Z94">
        <v>15</v>
      </c>
      <c r="AA94" s="3">
        <f t="shared" si="43"/>
        <v>2.9069767441860463</v>
      </c>
      <c r="AB94">
        <v>29</v>
      </c>
      <c r="AC94" s="3">
        <f t="shared" si="44"/>
        <v>5.6201550387596901</v>
      </c>
      <c r="AD94">
        <v>36</v>
      </c>
      <c r="AE94" s="3">
        <f t="shared" si="45"/>
        <v>6.9767441860465116</v>
      </c>
      <c r="AF94">
        <v>187</v>
      </c>
      <c r="AG94" s="3">
        <f t="shared" si="46"/>
        <v>36.240310077519382</v>
      </c>
      <c r="AH94">
        <v>55</v>
      </c>
      <c r="AI94" s="3">
        <f t="shared" si="47"/>
        <v>10.65891472868217</v>
      </c>
      <c r="AJ94">
        <v>49</v>
      </c>
      <c r="AK94" s="3">
        <f t="shared" si="48"/>
        <v>9.4961240310077528</v>
      </c>
      <c r="AL94">
        <v>7</v>
      </c>
      <c r="AM94" s="3">
        <f t="shared" si="36"/>
        <v>1.3565891472868217</v>
      </c>
      <c r="AN94">
        <v>64</v>
      </c>
      <c r="AO94" s="3">
        <f t="shared" si="49"/>
        <v>12.403100775193799</v>
      </c>
      <c r="AP94">
        <v>14</v>
      </c>
      <c r="AQ94" s="3">
        <f t="shared" si="50"/>
        <v>2.7131782945736433</v>
      </c>
      <c r="AR94">
        <v>10</v>
      </c>
      <c r="AS94" s="3">
        <f t="shared" si="51"/>
        <v>1.9379844961240309</v>
      </c>
      <c r="AT94" t="s">
        <v>209</v>
      </c>
      <c r="AV94"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43.272727272727252</v>
      </c>
      <c r="AW94" s="13">
        <f>2*(Дума_одномандатный[[#This Row],[Майданов Денис Васильевич]]-(AB$124/100)*Дума_одномандатный[[#This Row],[Число действительных избирательных бюллетеней]])</f>
        <v>57.120000000000005</v>
      </c>
      <c r="AX94" s="13">
        <f>(Дума_одномандатный[[#This Row],[Вброс]]+Дума_одномандатный[[#This Row],[Перекладывание]])/2</f>
        <v>50.196363636363628</v>
      </c>
      <c r="AY94" s="13">
        <f>Дума_партии[[#This Row],[Зона ответственности в сен. 2022 г.]]</f>
        <v>0</v>
      </c>
    </row>
    <row r="95" spans="1:51" x14ac:dyDescent="0.4">
      <c r="A95" t="s">
        <v>49</v>
      </c>
      <c r="B95" t="s">
        <v>50</v>
      </c>
      <c r="C95" t="s">
        <v>51</v>
      </c>
      <c r="D95" t="s">
        <v>102</v>
      </c>
      <c r="E95" t="s">
        <v>196</v>
      </c>
      <c r="F95" s="1">
        <f t="shared" ca="1" si="37"/>
        <v>3879</v>
      </c>
      <c r="G95" s="1" t="str">
        <f>Дума_партии[[#This Row],[Местоположение]]</f>
        <v>Наро-Фоминск</v>
      </c>
      <c r="H95">
        <v>922</v>
      </c>
      <c r="I95" s="10">
        <f>Дума_одномандатный[[#This Row],[Число избирателей, внесенных в список избирателей на момент окончания голосования]]</f>
        <v>922</v>
      </c>
      <c r="J95">
        <v>1000</v>
      </c>
      <c r="K95">
        <v>0</v>
      </c>
      <c r="L95">
        <v>237</v>
      </c>
      <c r="M95">
        <v>185</v>
      </c>
      <c r="N95" s="3">
        <f t="shared" si="38"/>
        <v>45.770065075921906</v>
      </c>
      <c r="O95" s="3">
        <f t="shared" si="39"/>
        <v>20.065075921908893</v>
      </c>
      <c r="P95">
        <v>578</v>
      </c>
      <c r="Q95">
        <v>185</v>
      </c>
      <c r="R95">
        <v>237</v>
      </c>
      <c r="S95" s="1">
        <f t="shared" si="40"/>
        <v>422</v>
      </c>
      <c r="T95" s="3">
        <f t="shared" si="41"/>
        <v>43.838862559241704</v>
      </c>
      <c r="U95">
        <v>24</v>
      </c>
      <c r="V95" s="3">
        <f t="shared" si="42"/>
        <v>5.6872037914691944</v>
      </c>
      <c r="W95">
        <v>398</v>
      </c>
      <c r="X95">
        <v>0</v>
      </c>
      <c r="Y95">
        <v>0</v>
      </c>
      <c r="Z95">
        <v>9</v>
      </c>
      <c r="AA95" s="3">
        <f t="shared" si="43"/>
        <v>2.1327014218009479</v>
      </c>
      <c r="AB95">
        <v>13</v>
      </c>
      <c r="AC95" s="3">
        <f t="shared" si="44"/>
        <v>3.080568720379147</v>
      </c>
      <c r="AD95">
        <v>12</v>
      </c>
      <c r="AE95" s="3">
        <f t="shared" si="45"/>
        <v>2.8436018957345972</v>
      </c>
      <c r="AF95">
        <v>260</v>
      </c>
      <c r="AG95" s="3">
        <f t="shared" si="46"/>
        <v>61.611374407582936</v>
      </c>
      <c r="AH95">
        <v>27</v>
      </c>
      <c r="AI95" s="3">
        <f t="shared" si="47"/>
        <v>6.3981042654028437</v>
      </c>
      <c r="AJ95">
        <v>20</v>
      </c>
      <c r="AK95" s="3">
        <f t="shared" si="48"/>
        <v>4.7393364928909953</v>
      </c>
      <c r="AL95">
        <v>4</v>
      </c>
      <c r="AM95" s="3">
        <f t="shared" si="36"/>
        <v>0.94786729857819907</v>
      </c>
      <c r="AN95">
        <v>32</v>
      </c>
      <c r="AO95" s="3">
        <f t="shared" si="49"/>
        <v>7.5829383886255926</v>
      </c>
      <c r="AP95">
        <v>14</v>
      </c>
      <c r="AQ95" s="3">
        <f t="shared" si="50"/>
        <v>3.3175355450236967</v>
      </c>
      <c r="AR95">
        <v>7</v>
      </c>
      <c r="AS95" s="3">
        <f t="shared" si="51"/>
        <v>1.6587677725118484</v>
      </c>
      <c r="AT95" t="s">
        <v>209</v>
      </c>
      <c r="AV95"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188.90909090909088</v>
      </c>
      <c r="AW95" s="13">
        <f>2*(Дума_одномандатный[[#This Row],[Майданов Денис Васильевич]]-(AB$124/100)*Дума_одномандатный[[#This Row],[Число действительных избирательных бюллетеней]])</f>
        <v>249.35999999999996</v>
      </c>
      <c r="AX95" s="13">
        <f>(Дума_одномандатный[[#This Row],[Вброс]]+Дума_одномандатный[[#This Row],[Перекладывание]])/2</f>
        <v>219.13454545454542</v>
      </c>
      <c r="AY95" s="13">
        <f>Дума_партии[[#This Row],[Зона ответственности в сен. 2022 г.]]</f>
        <v>0</v>
      </c>
    </row>
    <row r="96" spans="1:51" x14ac:dyDescent="0.4">
      <c r="A96" t="s">
        <v>49</v>
      </c>
      <c r="B96" t="s">
        <v>50</v>
      </c>
      <c r="C96" t="s">
        <v>51</v>
      </c>
      <c r="D96" t="s">
        <v>102</v>
      </c>
      <c r="E96" t="s">
        <v>197</v>
      </c>
      <c r="F96" s="1">
        <f t="shared" ca="1" si="37"/>
        <v>3880</v>
      </c>
      <c r="G96" s="1" t="str">
        <f>Дума_партии[[#This Row],[Местоположение]]</f>
        <v>Апрелевка</v>
      </c>
      <c r="H96">
        <v>1720</v>
      </c>
      <c r="I96" s="10">
        <f>Дума_одномандатный[[#This Row],[Число избирателей, внесенных в список избирателей на момент окончания голосования]]</f>
        <v>1720</v>
      </c>
      <c r="J96">
        <v>1700</v>
      </c>
      <c r="K96">
        <v>0</v>
      </c>
      <c r="L96">
        <v>389</v>
      </c>
      <c r="M96">
        <v>13</v>
      </c>
      <c r="N96" s="3">
        <f t="shared" si="38"/>
        <v>23.372093023255815</v>
      </c>
      <c r="O96" s="3">
        <f t="shared" si="39"/>
        <v>0.7558139534883721</v>
      </c>
      <c r="P96">
        <v>1298</v>
      </c>
      <c r="Q96">
        <v>13</v>
      </c>
      <c r="R96">
        <v>389</v>
      </c>
      <c r="S96" s="1">
        <f t="shared" si="40"/>
        <v>402</v>
      </c>
      <c r="T96" s="3">
        <f t="shared" si="41"/>
        <v>3.2338308457711444</v>
      </c>
      <c r="U96">
        <v>30</v>
      </c>
      <c r="V96" s="3">
        <f t="shared" si="42"/>
        <v>7.4626865671641793</v>
      </c>
      <c r="W96">
        <v>372</v>
      </c>
      <c r="X96">
        <v>0</v>
      </c>
      <c r="Y96">
        <v>0</v>
      </c>
      <c r="Z96">
        <v>20</v>
      </c>
      <c r="AA96" s="3">
        <f t="shared" si="43"/>
        <v>4.9751243781094523</v>
      </c>
      <c r="AB96">
        <v>32</v>
      </c>
      <c r="AC96" s="3">
        <f t="shared" si="44"/>
        <v>7.9601990049751246</v>
      </c>
      <c r="AD96">
        <v>19</v>
      </c>
      <c r="AE96" s="3">
        <f t="shared" si="45"/>
        <v>4.7263681592039797</v>
      </c>
      <c r="AF96">
        <v>110</v>
      </c>
      <c r="AG96" s="3">
        <f t="shared" si="46"/>
        <v>27.363184079601989</v>
      </c>
      <c r="AH96">
        <v>36</v>
      </c>
      <c r="AI96" s="3">
        <f t="shared" si="47"/>
        <v>8.9552238805970141</v>
      </c>
      <c r="AJ96">
        <v>18</v>
      </c>
      <c r="AK96" s="3">
        <f t="shared" si="48"/>
        <v>4.4776119402985071</v>
      </c>
      <c r="AL96">
        <v>10</v>
      </c>
      <c r="AM96" s="3">
        <f t="shared" si="36"/>
        <v>2.4875621890547261</v>
      </c>
      <c r="AN96">
        <v>102</v>
      </c>
      <c r="AO96" s="3">
        <f t="shared" si="49"/>
        <v>25.373134328358208</v>
      </c>
      <c r="AP96">
        <v>18</v>
      </c>
      <c r="AQ96" s="3">
        <f t="shared" si="50"/>
        <v>4.4776119402985071</v>
      </c>
      <c r="AR96">
        <v>7</v>
      </c>
      <c r="AS96" s="3">
        <f t="shared" si="51"/>
        <v>1.7412935323383085</v>
      </c>
      <c r="AT96" t="s">
        <v>209</v>
      </c>
      <c r="AV96"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-24.969696969696997</v>
      </c>
      <c r="AW96" s="13">
        <f>2*(Дума_одномандатный[[#This Row],[Майданов Денис Васильевич]]-(AB$124/100)*Дума_одномандатный[[#This Row],[Число действительных избирательных бюллетеней]])</f>
        <v>-32.960000000000008</v>
      </c>
      <c r="AX96" s="13">
        <f>(Дума_одномандатный[[#This Row],[Вброс]]+Дума_одномандатный[[#This Row],[Перекладывание]])/2</f>
        <v>-28.964848484848503</v>
      </c>
      <c r="AY96" s="13" t="str">
        <f>Дума_партии[[#This Row],[Зона ответственности в сен. 2022 г.]]</f>
        <v>Одинцово КПРФ</v>
      </c>
    </row>
    <row r="97" spans="1:51" x14ac:dyDescent="0.4">
      <c r="A97" t="s">
        <v>49</v>
      </c>
      <c r="B97" t="s">
        <v>50</v>
      </c>
      <c r="C97" t="s">
        <v>51</v>
      </c>
      <c r="D97" t="s">
        <v>102</v>
      </c>
      <c r="E97" t="s">
        <v>198</v>
      </c>
      <c r="F97" s="1">
        <f t="shared" ca="1" si="37"/>
        <v>3881</v>
      </c>
      <c r="G97" s="1" t="str">
        <f>Дума_партии[[#This Row],[Местоположение]]</f>
        <v>Верея</v>
      </c>
      <c r="H97">
        <v>1174</v>
      </c>
      <c r="I97" s="10">
        <f>Дума_одномандатный[[#This Row],[Число избирателей, внесенных в список избирателей на момент окончания голосования]]</f>
        <v>1174</v>
      </c>
      <c r="J97">
        <v>1100</v>
      </c>
      <c r="K97">
        <v>0</v>
      </c>
      <c r="L97">
        <v>374</v>
      </c>
      <c r="M97">
        <v>57</v>
      </c>
      <c r="N97" s="3">
        <f t="shared" si="38"/>
        <v>36.712095400340715</v>
      </c>
      <c r="O97" s="3">
        <f t="shared" si="39"/>
        <v>4.8551959114139693</v>
      </c>
      <c r="P97">
        <v>669</v>
      </c>
      <c r="Q97">
        <v>57</v>
      </c>
      <c r="R97">
        <v>374</v>
      </c>
      <c r="S97" s="1">
        <f t="shared" si="40"/>
        <v>431</v>
      </c>
      <c r="T97" s="3">
        <f t="shared" si="41"/>
        <v>13.225058004640371</v>
      </c>
      <c r="U97">
        <v>27</v>
      </c>
      <c r="V97" s="3">
        <f t="shared" si="42"/>
        <v>6.2645011600928076</v>
      </c>
      <c r="W97">
        <v>404</v>
      </c>
      <c r="X97">
        <v>0</v>
      </c>
      <c r="Y97">
        <v>0</v>
      </c>
      <c r="Z97">
        <v>10</v>
      </c>
      <c r="AA97" s="3">
        <f t="shared" si="43"/>
        <v>2.3201856148491879</v>
      </c>
      <c r="AB97">
        <v>19</v>
      </c>
      <c r="AC97" s="3">
        <f t="shared" si="44"/>
        <v>4.4083526682134568</v>
      </c>
      <c r="AD97">
        <v>29</v>
      </c>
      <c r="AE97" s="3">
        <f t="shared" si="45"/>
        <v>6.7285382830626448</v>
      </c>
      <c r="AF97">
        <v>129</v>
      </c>
      <c r="AG97" s="3">
        <f t="shared" si="46"/>
        <v>29.930394431554525</v>
      </c>
      <c r="AH97">
        <v>47</v>
      </c>
      <c r="AI97" s="3">
        <f t="shared" si="47"/>
        <v>10.904872389791183</v>
      </c>
      <c r="AJ97">
        <v>45</v>
      </c>
      <c r="AK97" s="3">
        <f t="shared" si="48"/>
        <v>10.440835266821345</v>
      </c>
      <c r="AL97">
        <v>6</v>
      </c>
      <c r="AM97" s="3">
        <f t="shared" si="36"/>
        <v>1.3921113689095128</v>
      </c>
      <c r="AN97">
        <v>95</v>
      </c>
      <c r="AO97" s="3">
        <f t="shared" si="49"/>
        <v>22.041763341067284</v>
      </c>
      <c r="AP97">
        <v>16</v>
      </c>
      <c r="AQ97" s="3">
        <f t="shared" si="50"/>
        <v>3.7122969837587005</v>
      </c>
      <c r="AR97">
        <v>8</v>
      </c>
      <c r="AS97" s="3">
        <f t="shared" si="51"/>
        <v>1.8561484918793503</v>
      </c>
      <c r="AT97" t="s">
        <v>209</v>
      </c>
      <c r="AV97"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-12.666666666666686</v>
      </c>
      <c r="AW97" s="13">
        <f>2*(Дума_одномандатный[[#This Row],[Майданов Денис Васильевич]]-(AB$124/100)*Дума_одномандатный[[#This Row],[Число действительных избирательных бюллетеней]])</f>
        <v>-16.720000000000027</v>
      </c>
      <c r="AX97" s="13">
        <f>(Дума_одномандатный[[#This Row],[Вброс]]+Дума_одномандатный[[#This Row],[Перекладывание]])/2</f>
        <v>-14.693333333333356</v>
      </c>
      <c r="AY97" s="13">
        <f>Дума_партии[[#This Row],[Зона ответственности в сен. 2022 г.]]</f>
        <v>0</v>
      </c>
    </row>
    <row r="98" spans="1:51" x14ac:dyDescent="0.4">
      <c r="A98" t="s">
        <v>49</v>
      </c>
      <c r="B98" t="s">
        <v>50</v>
      </c>
      <c r="C98" t="s">
        <v>51</v>
      </c>
      <c r="D98" t="s">
        <v>102</v>
      </c>
      <c r="E98" t="s">
        <v>199</v>
      </c>
      <c r="F98" s="1">
        <f t="shared" ca="1" si="37"/>
        <v>3882</v>
      </c>
      <c r="G98" s="1" t="str">
        <f>Дума_партии[[#This Row],[Местоположение]]</f>
        <v>Калининец</v>
      </c>
      <c r="H98">
        <v>3388</v>
      </c>
      <c r="I98" s="10">
        <f>Дума_одномандатный[[#This Row],[Число избирателей, внесенных в список избирателей на момент окончания голосования]]</f>
        <v>3388</v>
      </c>
      <c r="J98">
        <v>3000</v>
      </c>
      <c r="K98">
        <v>0</v>
      </c>
      <c r="L98">
        <v>1615</v>
      </c>
      <c r="M98">
        <v>0</v>
      </c>
      <c r="N98" s="3">
        <f t="shared" si="38"/>
        <v>47.668240850059028</v>
      </c>
      <c r="O98" s="3">
        <f t="shared" si="39"/>
        <v>0</v>
      </c>
      <c r="P98">
        <v>1385</v>
      </c>
      <c r="Q98">
        <v>0</v>
      </c>
      <c r="R98">
        <v>1615</v>
      </c>
      <c r="S98" s="1">
        <f t="shared" si="40"/>
        <v>1615</v>
      </c>
      <c r="T98" s="3">
        <f t="shared" si="41"/>
        <v>0</v>
      </c>
      <c r="U98">
        <v>126</v>
      </c>
      <c r="V98" s="3">
        <f t="shared" si="42"/>
        <v>7.8018575851393193</v>
      </c>
      <c r="W98">
        <v>1489</v>
      </c>
      <c r="X98">
        <v>0</v>
      </c>
      <c r="Y98">
        <v>0</v>
      </c>
      <c r="Z98">
        <v>92</v>
      </c>
      <c r="AA98" s="3">
        <f t="shared" si="43"/>
        <v>5.6965944272445821</v>
      </c>
      <c r="AB98">
        <v>105</v>
      </c>
      <c r="AC98" s="3">
        <f t="shared" si="44"/>
        <v>6.5015479876160986</v>
      </c>
      <c r="AD98">
        <v>95</v>
      </c>
      <c r="AE98" s="3">
        <f t="shared" si="45"/>
        <v>5.882352941176471</v>
      </c>
      <c r="AF98">
        <v>697</v>
      </c>
      <c r="AG98" s="3">
        <f t="shared" si="46"/>
        <v>43.157894736842103</v>
      </c>
      <c r="AH98">
        <v>180</v>
      </c>
      <c r="AI98" s="3">
        <f t="shared" si="47"/>
        <v>11.145510835913313</v>
      </c>
      <c r="AJ98">
        <v>109</v>
      </c>
      <c r="AK98" s="3">
        <f t="shared" si="48"/>
        <v>6.7492260061919502</v>
      </c>
      <c r="AL98">
        <v>40</v>
      </c>
      <c r="AM98" s="3">
        <f t="shared" ref="AM98:AM105" si="52">100*AL98/$S98</f>
        <v>2.4767801857585141</v>
      </c>
      <c r="AN98">
        <v>103</v>
      </c>
      <c r="AO98" s="3">
        <f t="shared" si="49"/>
        <v>6.3777089783281733</v>
      </c>
      <c r="AP98">
        <v>35</v>
      </c>
      <c r="AQ98" s="3">
        <f t="shared" si="50"/>
        <v>2.1671826625386998</v>
      </c>
      <c r="AR98">
        <v>33</v>
      </c>
      <c r="AS98" s="3">
        <f t="shared" si="51"/>
        <v>2.0433436532507741</v>
      </c>
      <c r="AT98" t="s">
        <v>209</v>
      </c>
      <c r="AV98"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288.99999999999994</v>
      </c>
      <c r="AW98" s="13">
        <f>2*(Дума_одномандатный[[#This Row],[Майданов Денис Васильевич]]-(AB$124/100)*Дума_одномандатный[[#This Row],[Число действительных избирательных бюллетеней]])</f>
        <v>381.4799999999999</v>
      </c>
      <c r="AX98" s="13">
        <f>(Дума_одномандатный[[#This Row],[Вброс]]+Дума_одномандатный[[#This Row],[Перекладывание]])/2</f>
        <v>335.2399999999999</v>
      </c>
      <c r="AY98" s="13" t="str">
        <f>Дума_партии[[#This Row],[Зона ответственности в сен. 2022 г.]]</f>
        <v>Одинцово КПРФ</v>
      </c>
    </row>
    <row r="99" spans="1:51" x14ac:dyDescent="0.4">
      <c r="A99" t="s">
        <v>49</v>
      </c>
      <c r="B99" t="s">
        <v>50</v>
      </c>
      <c r="C99" t="s">
        <v>51</v>
      </c>
      <c r="D99" t="s">
        <v>102</v>
      </c>
      <c r="E99" t="s">
        <v>200</v>
      </c>
      <c r="F99" s="1">
        <f t="shared" ca="1" si="37"/>
        <v>3883</v>
      </c>
      <c r="G99" s="1" t="str">
        <f>Дума_партии[[#This Row],[Местоположение]]</f>
        <v>Калининец</v>
      </c>
      <c r="H99">
        <v>2119</v>
      </c>
      <c r="I99" s="10">
        <f>Дума_одномандатный[[#This Row],[Число избирателей, внесенных в список избирателей на момент окончания голосования]]</f>
        <v>2119</v>
      </c>
      <c r="J99">
        <v>1800</v>
      </c>
      <c r="K99">
        <v>0</v>
      </c>
      <c r="L99">
        <v>1270</v>
      </c>
      <c r="M99">
        <v>14</v>
      </c>
      <c r="N99" s="3">
        <f t="shared" si="38"/>
        <v>60.594620103822557</v>
      </c>
      <c r="O99" s="3">
        <f t="shared" si="39"/>
        <v>0.66068900424728649</v>
      </c>
      <c r="P99">
        <v>516</v>
      </c>
      <c r="Q99">
        <v>14</v>
      </c>
      <c r="R99">
        <v>1270</v>
      </c>
      <c r="S99" s="1">
        <f t="shared" si="40"/>
        <v>1284</v>
      </c>
      <c r="T99" s="3">
        <f t="shared" si="41"/>
        <v>1.0903426791277258</v>
      </c>
      <c r="U99">
        <v>80</v>
      </c>
      <c r="V99" s="3">
        <f t="shared" si="42"/>
        <v>6.2305295950155761</v>
      </c>
      <c r="W99">
        <v>1204</v>
      </c>
      <c r="X99">
        <v>0</v>
      </c>
      <c r="Y99">
        <v>0</v>
      </c>
      <c r="Z99">
        <v>59</v>
      </c>
      <c r="AA99" s="3">
        <f t="shared" si="43"/>
        <v>4.5950155763239877</v>
      </c>
      <c r="AB99">
        <v>78</v>
      </c>
      <c r="AC99" s="3">
        <f t="shared" si="44"/>
        <v>6.0747663551401869</v>
      </c>
      <c r="AD99">
        <v>70</v>
      </c>
      <c r="AE99" s="3">
        <f t="shared" si="45"/>
        <v>5.4517133956386292</v>
      </c>
      <c r="AF99">
        <v>590</v>
      </c>
      <c r="AG99" s="3">
        <f t="shared" si="46"/>
        <v>45.950155763239877</v>
      </c>
      <c r="AH99">
        <v>129</v>
      </c>
      <c r="AI99" s="3">
        <f t="shared" si="47"/>
        <v>10.046728971962617</v>
      </c>
      <c r="AJ99">
        <v>69</v>
      </c>
      <c r="AK99" s="3">
        <f t="shared" si="48"/>
        <v>5.3738317757009346</v>
      </c>
      <c r="AL99">
        <v>29</v>
      </c>
      <c r="AM99" s="3">
        <f t="shared" si="52"/>
        <v>2.2585669781931466</v>
      </c>
      <c r="AN99">
        <v>131</v>
      </c>
      <c r="AO99" s="3">
        <f t="shared" si="49"/>
        <v>10.202492211838006</v>
      </c>
      <c r="AP99">
        <v>28</v>
      </c>
      <c r="AQ99" s="3">
        <f t="shared" si="50"/>
        <v>2.1806853582554515</v>
      </c>
      <c r="AR99">
        <v>21</v>
      </c>
      <c r="AS99" s="3">
        <f t="shared" si="51"/>
        <v>1.6355140186915889</v>
      </c>
      <c r="AT99" t="s">
        <v>209</v>
      </c>
      <c r="AV99"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273.69696969696963</v>
      </c>
      <c r="AW99" s="13">
        <f>2*(Дума_одномандатный[[#This Row],[Майданов Денис Васильевич]]-(AB$124/100)*Дума_одномандатный[[#This Row],[Число действительных избирательных бюллетеней]])</f>
        <v>361.28</v>
      </c>
      <c r="AX99" s="13">
        <f>(Дума_одномандатный[[#This Row],[Вброс]]+Дума_одномандатный[[#This Row],[Перекладывание]])/2</f>
        <v>317.4884848484848</v>
      </c>
      <c r="AY99" s="13" t="str">
        <f>Дума_партии[[#This Row],[Зона ответственности в сен. 2022 г.]]</f>
        <v>Одинцово КПРФ</v>
      </c>
    </row>
    <row r="100" spans="1:51" x14ac:dyDescent="0.4">
      <c r="A100" t="s">
        <v>49</v>
      </c>
      <c r="B100" t="s">
        <v>50</v>
      </c>
      <c r="C100" t="s">
        <v>51</v>
      </c>
      <c r="D100" t="s">
        <v>102</v>
      </c>
      <c r="E100" t="s">
        <v>201</v>
      </c>
      <c r="F100" s="1">
        <f t="shared" ca="1" si="37"/>
        <v>3884</v>
      </c>
      <c r="G100" s="1" t="str">
        <f>Дума_партии[[#This Row],[Местоположение]]</f>
        <v>Калининец</v>
      </c>
      <c r="H100">
        <v>2020</v>
      </c>
      <c r="I100" s="10">
        <f>Дума_одномандатный[[#This Row],[Число избирателей, внесенных в список избирателей на момент окончания голосования]]</f>
        <v>2020</v>
      </c>
      <c r="J100">
        <v>1500</v>
      </c>
      <c r="K100">
        <v>0</v>
      </c>
      <c r="L100">
        <v>1154</v>
      </c>
      <c r="M100">
        <v>0</v>
      </c>
      <c r="N100" s="3">
        <f t="shared" si="38"/>
        <v>57.128712871287128</v>
      </c>
      <c r="O100" s="3">
        <f t="shared" si="39"/>
        <v>0</v>
      </c>
      <c r="P100">
        <v>346</v>
      </c>
      <c r="Q100">
        <v>0</v>
      </c>
      <c r="R100">
        <v>1154</v>
      </c>
      <c r="S100" s="1">
        <f t="shared" si="40"/>
        <v>1154</v>
      </c>
      <c r="T100" s="3">
        <f t="shared" si="41"/>
        <v>0</v>
      </c>
      <c r="U100">
        <v>9</v>
      </c>
      <c r="V100" s="3">
        <f t="shared" si="42"/>
        <v>0.77989601386481799</v>
      </c>
      <c r="W100">
        <v>1145</v>
      </c>
      <c r="X100">
        <v>0</v>
      </c>
      <c r="Y100">
        <v>0</v>
      </c>
      <c r="Z100">
        <v>17</v>
      </c>
      <c r="AA100" s="3">
        <f t="shared" si="43"/>
        <v>1.4731369150779896</v>
      </c>
      <c r="AB100">
        <v>22</v>
      </c>
      <c r="AC100" s="3">
        <f t="shared" si="44"/>
        <v>1.9064124783362217</v>
      </c>
      <c r="AD100">
        <v>31</v>
      </c>
      <c r="AE100" s="3">
        <f t="shared" si="45"/>
        <v>2.6863084922010398</v>
      </c>
      <c r="AF100">
        <v>878</v>
      </c>
      <c r="AG100" s="3">
        <f t="shared" si="46"/>
        <v>76.083188908145587</v>
      </c>
      <c r="AH100">
        <v>59</v>
      </c>
      <c r="AI100" s="3">
        <f t="shared" si="47"/>
        <v>5.1126516464471408</v>
      </c>
      <c r="AJ100">
        <v>19</v>
      </c>
      <c r="AK100" s="3">
        <f t="shared" si="48"/>
        <v>1.6464471403812826</v>
      </c>
      <c r="AL100">
        <v>28</v>
      </c>
      <c r="AM100" s="3">
        <f t="shared" si="52"/>
        <v>2.4263431542461005</v>
      </c>
      <c r="AN100">
        <v>72</v>
      </c>
      <c r="AO100" s="3">
        <f t="shared" si="49"/>
        <v>6.239168110918544</v>
      </c>
      <c r="AP100">
        <v>11</v>
      </c>
      <c r="AQ100" s="3">
        <f t="shared" si="50"/>
        <v>0.95320623916811087</v>
      </c>
      <c r="AR100">
        <v>8</v>
      </c>
      <c r="AS100" s="3">
        <f t="shared" si="51"/>
        <v>0.69324090121317161</v>
      </c>
      <c r="AT100" t="s">
        <v>209</v>
      </c>
      <c r="AV100"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740.4545454545455</v>
      </c>
      <c r="AW100" s="13">
        <f>2*(Дума_одномандатный[[#This Row],[Майданов Денис Васильевич]]-(AB$124/100)*Дума_одномандатный[[#This Row],[Число действительных избирательных бюллетеней]])</f>
        <v>977.4</v>
      </c>
      <c r="AX100" s="13">
        <f>(Дума_одномандатный[[#This Row],[Вброс]]+Дума_одномандатный[[#This Row],[Перекладывание]])/2</f>
        <v>858.92727272727279</v>
      </c>
      <c r="AY100" s="13" t="str">
        <f>Дума_партии[[#This Row],[Зона ответственности в сен. 2022 г.]]</f>
        <v>Одинцово КПРФ</v>
      </c>
    </row>
    <row r="101" spans="1:51" x14ac:dyDescent="0.4">
      <c r="A101" t="s">
        <v>49</v>
      </c>
      <c r="B101" t="s">
        <v>50</v>
      </c>
      <c r="C101" t="s">
        <v>51</v>
      </c>
      <c r="D101" t="s">
        <v>102</v>
      </c>
      <c r="E101" t="s">
        <v>202</v>
      </c>
      <c r="F101" s="1">
        <f t="shared" ca="1" si="37"/>
        <v>3885</v>
      </c>
      <c r="G101" s="1" t="str">
        <f>Дума_партии[[#This Row],[Местоположение]]</f>
        <v>Селятино</v>
      </c>
      <c r="H101">
        <v>1161</v>
      </c>
      <c r="I101" s="10">
        <f>Дума_одномандатный[[#This Row],[Число избирателей, внесенных в список избирателей на момент окончания голосования]]</f>
        <v>1161</v>
      </c>
      <c r="J101">
        <v>1100</v>
      </c>
      <c r="K101">
        <v>0</v>
      </c>
      <c r="L101">
        <v>460</v>
      </c>
      <c r="M101">
        <v>10</v>
      </c>
      <c r="N101" s="3">
        <f t="shared" si="38"/>
        <v>40.482342807924205</v>
      </c>
      <c r="O101" s="3">
        <f t="shared" si="39"/>
        <v>0.8613264427217916</v>
      </c>
      <c r="P101">
        <v>630</v>
      </c>
      <c r="Q101">
        <v>10</v>
      </c>
      <c r="R101">
        <v>460</v>
      </c>
      <c r="S101" s="1">
        <f t="shared" si="40"/>
        <v>470</v>
      </c>
      <c r="T101" s="3">
        <f t="shared" si="41"/>
        <v>2.1276595744680851</v>
      </c>
      <c r="U101">
        <v>24</v>
      </c>
      <c r="V101" s="3">
        <f t="shared" si="42"/>
        <v>5.1063829787234045</v>
      </c>
      <c r="W101">
        <v>446</v>
      </c>
      <c r="X101">
        <v>0</v>
      </c>
      <c r="Y101">
        <v>0</v>
      </c>
      <c r="Z101">
        <v>20</v>
      </c>
      <c r="AA101" s="3">
        <f t="shared" si="43"/>
        <v>4.2553191489361701</v>
      </c>
      <c r="AB101">
        <v>27</v>
      </c>
      <c r="AC101" s="3">
        <f t="shared" si="44"/>
        <v>5.7446808510638299</v>
      </c>
      <c r="AD101">
        <v>45</v>
      </c>
      <c r="AE101" s="3">
        <f t="shared" si="45"/>
        <v>9.5744680851063837</v>
      </c>
      <c r="AF101">
        <v>139</v>
      </c>
      <c r="AG101" s="3">
        <f t="shared" si="46"/>
        <v>29.574468085106382</v>
      </c>
      <c r="AH101">
        <v>39</v>
      </c>
      <c r="AI101" s="3">
        <f t="shared" si="47"/>
        <v>8.2978723404255312</v>
      </c>
      <c r="AJ101">
        <v>44</v>
      </c>
      <c r="AK101" s="3">
        <f t="shared" si="48"/>
        <v>9.3617021276595747</v>
      </c>
      <c r="AL101">
        <v>4</v>
      </c>
      <c r="AM101" s="3">
        <f t="shared" si="52"/>
        <v>0.85106382978723405</v>
      </c>
      <c r="AN101">
        <v>86</v>
      </c>
      <c r="AO101" s="3">
        <f t="shared" si="49"/>
        <v>18.297872340425531</v>
      </c>
      <c r="AP101">
        <v>27</v>
      </c>
      <c r="AQ101" s="3">
        <f t="shared" si="50"/>
        <v>5.7446808510638299</v>
      </c>
      <c r="AR101">
        <v>15</v>
      </c>
      <c r="AS101" s="3">
        <f t="shared" si="51"/>
        <v>3.1914893617021276</v>
      </c>
      <c r="AT101" t="s">
        <v>209</v>
      </c>
      <c r="AV101"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-19.151515151515184</v>
      </c>
      <c r="AW101" s="13">
        <f>2*(Дума_одномандатный[[#This Row],[Майданов Денис Васильевич]]-(AB$124/100)*Дума_одномандатный[[#This Row],[Число действительных избирательных бюллетеней]])</f>
        <v>-25.28000000000003</v>
      </c>
      <c r="AX101" s="13">
        <f>(Дума_одномандатный[[#This Row],[Вброс]]+Дума_одномандатный[[#This Row],[Перекладывание]])/2</f>
        <v>-22.215757575757607</v>
      </c>
      <c r="AY101" s="13" t="str">
        <f>Дума_партии[[#This Row],[Зона ответственности в сен. 2022 г.]]</f>
        <v>Одинцово КПРФ</v>
      </c>
    </row>
    <row r="102" spans="1:51" x14ac:dyDescent="0.4">
      <c r="A102" t="s">
        <v>49</v>
      </c>
      <c r="B102" t="s">
        <v>50</v>
      </c>
      <c r="C102" t="s">
        <v>51</v>
      </c>
      <c r="D102" t="s">
        <v>102</v>
      </c>
      <c r="E102" t="s">
        <v>203</v>
      </c>
      <c r="F102" s="1">
        <f t="shared" ca="1" si="37"/>
        <v>4243</v>
      </c>
      <c r="G102" s="1" t="str">
        <f>Дума_партии[[#This Row],[Местоположение]]</f>
        <v>Наро-Фоминск рай. больн.</v>
      </c>
      <c r="H102">
        <v>41</v>
      </c>
      <c r="I102" s="10">
        <f>Дума_одномандатный[[#This Row],[Число избирателей, внесенных в список избирателей на момент окончания голосования]]</f>
        <v>41</v>
      </c>
      <c r="J102">
        <v>230</v>
      </c>
      <c r="K102">
        <v>0</v>
      </c>
      <c r="L102">
        <v>41</v>
      </c>
      <c r="M102">
        <v>0</v>
      </c>
      <c r="N102" s="3">
        <f t="shared" si="38"/>
        <v>100</v>
      </c>
      <c r="O102" s="3">
        <f t="shared" si="39"/>
        <v>0</v>
      </c>
      <c r="P102">
        <v>189</v>
      </c>
      <c r="Q102">
        <v>0</v>
      </c>
      <c r="R102">
        <v>41</v>
      </c>
      <c r="S102" s="1">
        <f t="shared" si="40"/>
        <v>41</v>
      </c>
      <c r="T102" s="3">
        <f t="shared" si="41"/>
        <v>0</v>
      </c>
      <c r="U102">
        <v>0</v>
      </c>
      <c r="V102" s="3">
        <f t="shared" si="42"/>
        <v>0</v>
      </c>
      <c r="W102">
        <v>41</v>
      </c>
      <c r="X102">
        <v>0</v>
      </c>
      <c r="Y102">
        <v>0</v>
      </c>
      <c r="Z102">
        <v>4</v>
      </c>
      <c r="AA102" s="3">
        <f t="shared" si="43"/>
        <v>9.7560975609756095</v>
      </c>
      <c r="AB102">
        <v>1</v>
      </c>
      <c r="AC102" s="3">
        <f t="shared" si="44"/>
        <v>2.4390243902439024</v>
      </c>
      <c r="AD102">
        <v>0</v>
      </c>
      <c r="AE102" s="3">
        <f t="shared" si="45"/>
        <v>0</v>
      </c>
      <c r="AF102">
        <v>30</v>
      </c>
      <c r="AG102" s="3">
        <f t="shared" si="46"/>
        <v>73.170731707317074</v>
      </c>
      <c r="AH102">
        <v>3</v>
      </c>
      <c r="AI102" s="3">
        <f t="shared" si="47"/>
        <v>7.3170731707317076</v>
      </c>
      <c r="AJ102">
        <v>1</v>
      </c>
      <c r="AK102" s="3">
        <f t="shared" si="48"/>
        <v>2.4390243902439024</v>
      </c>
      <c r="AL102">
        <v>1</v>
      </c>
      <c r="AM102" s="3">
        <f t="shared" si="52"/>
        <v>2.4390243902439024</v>
      </c>
      <c r="AN102">
        <v>1</v>
      </c>
      <c r="AO102" s="3">
        <f t="shared" si="49"/>
        <v>2.4390243902439024</v>
      </c>
      <c r="AP102">
        <v>0</v>
      </c>
      <c r="AQ102" s="3">
        <f t="shared" si="50"/>
        <v>0</v>
      </c>
      <c r="AR102">
        <v>0</v>
      </c>
      <c r="AS102" s="3">
        <f t="shared" si="51"/>
        <v>0</v>
      </c>
      <c r="AT102" t="s">
        <v>209</v>
      </c>
      <c r="AV102"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24.333333333333332</v>
      </c>
      <c r="AW102" s="13">
        <f>2*(Дума_одномандатный[[#This Row],[Майданов Денис Васильевич]]-(AB$124/100)*Дума_одномандатный[[#This Row],[Число действительных избирательных бюллетеней]])</f>
        <v>32.119999999999997</v>
      </c>
      <c r="AX102" s="13">
        <f>(Дума_одномандатный[[#This Row],[Вброс]]+Дума_одномандатный[[#This Row],[Перекладывание]])/2</f>
        <v>28.226666666666667</v>
      </c>
      <c r="AY102" s="13">
        <f>Дума_партии[[#This Row],[Зона ответственности в сен. 2022 г.]]</f>
        <v>0</v>
      </c>
    </row>
    <row r="103" spans="1:51" x14ac:dyDescent="0.4">
      <c r="A103" t="s">
        <v>49</v>
      </c>
      <c r="B103" t="s">
        <v>50</v>
      </c>
      <c r="C103" t="s">
        <v>51</v>
      </c>
      <c r="D103" t="s">
        <v>102</v>
      </c>
      <c r="E103" t="s">
        <v>204</v>
      </c>
      <c r="F103" s="1">
        <f t="shared" ca="1" si="37"/>
        <v>4250</v>
      </c>
      <c r="G103" s="1" t="str">
        <f>Дума_партии[[#This Row],[Местоположение]]</f>
        <v>Каменское обл. психбольн.</v>
      </c>
      <c r="H103">
        <v>194</v>
      </c>
      <c r="I103" s="10">
        <f>Дума_одномандатный[[#This Row],[Число избирателей, внесенных в список избирателей на момент окончания голосования]]</f>
        <v>194</v>
      </c>
      <c r="J103">
        <v>270</v>
      </c>
      <c r="K103">
        <v>0</v>
      </c>
      <c r="L103">
        <v>175</v>
      </c>
      <c r="M103">
        <v>0</v>
      </c>
      <c r="N103" s="3">
        <f t="shared" si="38"/>
        <v>90.206185567010309</v>
      </c>
      <c r="O103" s="3">
        <f t="shared" si="39"/>
        <v>0</v>
      </c>
      <c r="P103">
        <v>95</v>
      </c>
      <c r="Q103">
        <v>0</v>
      </c>
      <c r="R103">
        <v>175</v>
      </c>
      <c r="S103" s="1">
        <f t="shared" si="40"/>
        <v>175</v>
      </c>
      <c r="T103" s="3">
        <f t="shared" si="41"/>
        <v>0</v>
      </c>
      <c r="U103">
        <v>25</v>
      </c>
      <c r="V103" s="3">
        <f t="shared" si="42"/>
        <v>14.285714285714286</v>
      </c>
      <c r="W103">
        <v>150</v>
      </c>
      <c r="X103">
        <v>0</v>
      </c>
      <c r="Y103">
        <v>0</v>
      </c>
      <c r="Z103">
        <v>4</v>
      </c>
      <c r="AA103" s="3">
        <f t="shared" si="43"/>
        <v>2.2857142857142856</v>
      </c>
      <c r="AB103">
        <v>3</v>
      </c>
      <c r="AC103" s="3">
        <f t="shared" si="44"/>
        <v>1.7142857142857142</v>
      </c>
      <c r="AD103">
        <v>3</v>
      </c>
      <c r="AE103" s="3">
        <f t="shared" si="45"/>
        <v>1.7142857142857142</v>
      </c>
      <c r="AF103">
        <v>119</v>
      </c>
      <c r="AG103" s="3">
        <f t="shared" si="46"/>
        <v>68</v>
      </c>
      <c r="AH103">
        <v>5</v>
      </c>
      <c r="AI103" s="3">
        <f t="shared" si="47"/>
        <v>2.8571428571428572</v>
      </c>
      <c r="AJ103">
        <v>2</v>
      </c>
      <c r="AK103" s="3">
        <f t="shared" si="48"/>
        <v>1.1428571428571428</v>
      </c>
      <c r="AL103">
        <v>2</v>
      </c>
      <c r="AM103" s="3">
        <f t="shared" si="52"/>
        <v>1.1428571428571428</v>
      </c>
      <c r="AN103">
        <v>5</v>
      </c>
      <c r="AO103" s="3">
        <f t="shared" si="49"/>
        <v>2.8571428571428572</v>
      </c>
      <c r="AP103">
        <v>5</v>
      </c>
      <c r="AQ103" s="3">
        <f t="shared" si="50"/>
        <v>2.8571428571428572</v>
      </c>
      <c r="AR103">
        <v>2</v>
      </c>
      <c r="AS103" s="3">
        <f t="shared" si="51"/>
        <v>1.1428571428571428</v>
      </c>
      <c r="AT103" t="s">
        <v>209</v>
      </c>
      <c r="AV103"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103.03030303030303</v>
      </c>
      <c r="AW103" s="13">
        <f>2*(Дума_одномандатный[[#This Row],[Майданов Денис Васильевич]]-(AB$124/100)*Дума_одномандатный[[#This Row],[Число действительных избирательных бюллетеней]])</f>
        <v>136</v>
      </c>
      <c r="AX103" s="13">
        <f>(Дума_одномандатный[[#This Row],[Вброс]]+Дума_одномандатный[[#This Row],[Перекладывание]])/2</f>
        <v>119.51515151515152</v>
      </c>
      <c r="AY103" s="13">
        <f>Дума_партии[[#This Row],[Зона ответственности в сен. 2022 г.]]</f>
        <v>0</v>
      </c>
    </row>
    <row r="104" spans="1:51" x14ac:dyDescent="0.4">
      <c r="A104" t="s">
        <v>49</v>
      </c>
      <c r="B104" t="s">
        <v>50</v>
      </c>
      <c r="C104" t="s">
        <v>51</v>
      </c>
      <c r="D104" t="s">
        <v>102</v>
      </c>
      <c r="E104" t="s">
        <v>205</v>
      </c>
      <c r="F104" s="1">
        <f t="shared" ref="F104:F105" ca="1" si="53">SUMPRODUCT(MID(0&amp;E104, LARGE(INDEX(ISNUMBER(--MID(E104, ROW(INDIRECT("1:"&amp;LEN(E104))), 1)) * ROW(INDIRECT("1:"&amp;LEN(E104))), 0), ROW(INDIRECT("1:"&amp;LEN(E104))))+1, 1) * 10^ROW(INDIRECT("1:"&amp;LEN(E104)))/10)</f>
        <v>4251</v>
      </c>
      <c r="G104" s="1" t="str">
        <f>Дума_партии[[#This Row],[Местоположение]]</f>
        <v>Наро-Фоминск роддом</v>
      </c>
      <c r="H104">
        <v>169</v>
      </c>
      <c r="I104" s="10">
        <f>Дума_одномандатный[[#This Row],[Число избирателей, внесенных в список избирателей на момент окончания голосования]]</f>
        <v>169</v>
      </c>
      <c r="J104">
        <v>210</v>
      </c>
      <c r="K104">
        <v>0</v>
      </c>
      <c r="L104">
        <v>121</v>
      </c>
      <c r="M104">
        <v>42</v>
      </c>
      <c r="N104" s="3">
        <f t="shared" ref="N104:N105" si="54">100*(L104+M104)/H104</f>
        <v>96.449704142011839</v>
      </c>
      <c r="O104" s="3">
        <f t="shared" si="39"/>
        <v>24.852071005917161</v>
      </c>
      <c r="P104">
        <v>47</v>
      </c>
      <c r="Q104">
        <v>42</v>
      </c>
      <c r="R104">
        <v>121</v>
      </c>
      <c r="S104" s="1">
        <f t="shared" ref="S104:S105" si="55">Q104+R104</f>
        <v>163</v>
      </c>
      <c r="T104" s="3">
        <f t="shared" ref="T104:T105" si="56">100*Q104/S104</f>
        <v>25.766871165644172</v>
      </c>
      <c r="U104">
        <v>3</v>
      </c>
      <c r="V104" s="3">
        <f t="shared" ref="V104:V105" si="57">100*U104/S104</f>
        <v>1.8404907975460123</v>
      </c>
      <c r="W104">
        <v>160</v>
      </c>
      <c r="X104">
        <v>0</v>
      </c>
      <c r="Y104">
        <v>0</v>
      </c>
      <c r="Z104">
        <v>6</v>
      </c>
      <c r="AA104" s="3">
        <f t="shared" ref="AA104:AA105" si="58">100*Z104/$S104</f>
        <v>3.6809815950920246</v>
      </c>
      <c r="AB104">
        <v>7</v>
      </c>
      <c r="AC104" s="3">
        <f t="shared" ref="AC104:AC105" si="59">100*AB104/$S104</f>
        <v>4.294478527607362</v>
      </c>
      <c r="AD104">
        <v>12</v>
      </c>
      <c r="AE104" s="3">
        <f t="shared" ref="AE104:AE105" si="60">100*AD104/$S104</f>
        <v>7.3619631901840492</v>
      </c>
      <c r="AF104">
        <v>87</v>
      </c>
      <c r="AG104" s="3">
        <f t="shared" ref="AG104:AG105" si="61">100*AF104/$S104</f>
        <v>53.374233128834355</v>
      </c>
      <c r="AH104">
        <v>17</v>
      </c>
      <c r="AI104" s="3">
        <f t="shared" ref="AI104:AI105" si="62">100*AH104/$S104</f>
        <v>10.429447852760736</v>
      </c>
      <c r="AJ104">
        <v>15</v>
      </c>
      <c r="AK104" s="3">
        <f t="shared" ref="AK104:AK105" si="63">100*AJ104/$S104</f>
        <v>9.2024539877300615</v>
      </c>
      <c r="AL104">
        <v>2</v>
      </c>
      <c r="AM104" s="3">
        <f t="shared" si="52"/>
        <v>1.2269938650306749</v>
      </c>
      <c r="AN104">
        <v>5</v>
      </c>
      <c r="AO104" s="3">
        <f t="shared" ref="AO104:AO105" si="64">100*AN104/$S104</f>
        <v>3.0674846625766872</v>
      </c>
      <c r="AP104">
        <v>7</v>
      </c>
      <c r="AQ104" s="3">
        <f t="shared" ref="AQ104:AQ105" si="65">100*AP104/$S104</f>
        <v>4.294478527607362</v>
      </c>
      <c r="AR104">
        <v>2</v>
      </c>
      <c r="AS104" s="3">
        <f t="shared" ref="AS104:AS105" si="66">100*AR104/$S104</f>
        <v>1.2269938650306749</v>
      </c>
      <c r="AT104" t="s">
        <v>209</v>
      </c>
      <c r="AV104"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49.393939393939384</v>
      </c>
      <c r="AW104" s="13">
        <f>2*(Дума_одномандатный[[#This Row],[Майданов Денис Васильевич]]-(AB$124/100)*Дума_одномандатный[[#This Row],[Число действительных избирательных бюллетеней]])</f>
        <v>65.199999999999989</v>
      </c>
      <c r="AX104" s="13">
        <f>(Дума_одномандатный[[#This Row],[Вброс]]+Дума_одномандатный[[#This Row],[Перекладывание]])/2</f>
        <v>57.296969696969683</v>
      </c>
      <c r="AY104" s="13">
        <f>Дума_партии[[#This Row],[Зона ответственности в сен. 2022 г.]]</f>
        <v>0</v>
      </c>
    </row>
    <row r="105" spans="1:51" x14ac:dyDescent="0.4">
      <c r="A105" t="s">
        <v>49</v>
      </c>
      <c r="B105" t="s">
        <v>50</v>
      </c>
      <c r="C105" t="s">
        <v>51</v>
      </c>
      <c r="D105" t="s">
        <v>102</v>
      </c>
      <c r="E105" t="s">
        <v>206</v>
      </c>
      <c r="F105" s="1">
        <f t="shared" ca="1" si="53"/>
        <v>4252</v>
      </c>
      <c r="G105" s="1" t="str">
        <f>Дума_партии[[#This Row],[Местоположение]]</f>
        <v>Александровка псих. интернат</v>
      </c>
      <c r="H105">
        <v>220</v>
      </c>
      <c r="I105" s="10">
        <f>Дума_одномандатный[[#This Row],[Число избирателей, внесенных в список избирателей на момент окончания голосования]]</f>
        <v>220</v>
      </c>
      <c r="J105">
        <v>280</v>
      </c>
      <c r="K105">
        <v>0</v>
      </c>
      <c r="L105">
        <v>159</v>
      </c>
      <c r="M105">
        <v>0</v>
      </c>
      <c r="N105" s="3">
        <f t="shared" si="54"/>
        <v>72.272727272727266</v>
      </c>
      <c r="O105" s="3">
        <f t="shared" si="39"/>
        <v>0</v>
      </c>
      <c r="P105">
        <v>121</v>
      </c>
      <c r="Q105">
        <v>0</v>
      </c>
      <c r="R105">
        <v>159</v>
      </c>
      <c r="S105" s="1">
        <f t="shared" si="55"/>
        <v>159</v>
      </c>
      <c r="T105" s="3">
        <f t="shared" si="56"/>
        <v>0</v>
      </c>
      <c r="U105">
        <v>13</v>
      </c>
      <c r="V105" s="3">
        <f t="shared" si="57"/>
        <v>8.1761006289308185</v>
      </c>
      <c r="W105">
        <v>146</v>
      </c>
      <c r="X105">
        <v>0</v>
      </c>
      <c r="Y105">
        <v>0</v>
      </c>
      <c r="Z105">
        <v>6</v>
      </c>
      <c r="AA105" s="3">
        <f t="shared" si="58"/>
        <v>3.7735849056603774</v>
      </c>
      <c r="AB105">
        <v>8</v>
      </c>
      <c r="AC105" s="3">
        <f t="shared" si="59"/>
        <v>5.0314465408805029</v>
      </c>
      <c r="AD105">
        <v>10</v>
      </c>
      <c r="AE105" s="3">
        <f t="shared" si="60"/>
        <v>6.2893081761006293</v>
      </c>
      <c r="AF105">
        <v>77</v>
      </c>
      <c r="AG105" s="3">
        <f t="shared" si="61"/>
        <v>48.427672955974842</v>
      </c>
      <c r="AH105">
        <v>14</v>
      </c>
      <c r="AI105" s="3">
        <f t="shared" si="62"/>
        <v>8.8050314465408803</v>
      </c>
      <c r="AJ105">
        <v>8</v>
      </c>
      <c r="AK105" s="3">
        <f t="shared" si="63"/>
        <v>5.0314465408805029</v>
      </c>
      <c r="AL105">
        <v>8</v>
      </c>
      <c r="AM105" s="3">
        <f t="shared" si="52"/>
        <v>5.0314465408805029</v>
      </c>
      <c r="AN105">
        <v>9</v>
      </c>
      <c r="AO105" s="3">
        <f t="shared" si="64"/>
        <v>5.6603773584905657</v>
      </c>
      <c r="AP105">
        <v>4</v>
      </c>
      <c r="AQ105" s="3">
        <f t="shared" si="65"/>
        <v>2.5157232704402515</v>
      </c>
      <c r="AR105">
        <v>2</v>
      </c>
      <c r="AS105" s="3">
        <f t="shared" si="66"/>
        <v>1.2578616352201257</v>
      </c>
      <c r="AT105" t="s">
        <v>209</v>
      </c>
      <c r="AV105" s="13">
        <f>Дума_одномандатный[[#This Row],[Майданов Денис Васильевич]]-((AB$124/100)/(1-(AB$124/100)))*(Дума_одномандатный[[#This Row],[Число действительных избирательных бюллетеней]]-Дума_одномандатный[[#This Row],[Майданов Денис Васильевич]])</f>
        <v>41.454545454545446</v>
      </c>
      <c r="AW105" s="13">
        <f>2*(Дума_одномандатный[[#This Row],[Майданов Денис Васильевич]]-(AB$124/100)*Дума_одномандатный[[#This Row],[Число действительных избирательных бюллетеней]])</f>
        <v>54.72</v>
      </c>
      <c r="AX105" s="13">
        <f>(Дума_одномандатный[[#This Row],[Вброс]]+Дума_одномандатный[[#This Row],[Перекладывание]])/2</f>
        <v>48.087272727272719</v>
      </c>
      <c r="AY105" s="13">
        <f>Дума_партии[[#This Row],[Зона ответственности в сен. 2022 г.]]</f>
        <v>0</v>
      </c>
    </row>
    <row r="106" spans="1:51" x14ac:dyDescent="0.4">
      <c r="A106" s="1" t="s">
        <v>95</v>
      </c>
      <c r="F106" s="1">
        <f ca="1">SUBTOTAL(103,Дума_одномандатный[УИК])</f>
        <v>104</v>
      </c>
      <c r="H106" s="1">
        <f>SUBTOTAL(109,Дума_одномандатный[Число избирателей, внесенных в список избирателей на момент окончания голосования])</f>
        <v>131749</v>
      </c>
      <c r="L106" s="1">
        <f>SUBTOTAL(109,Дума_одномандатный[Число избирательных бюллетеней, выданных в помещении для голосования в день голосования])</f>
        <v>53377</v>
      </c>
      <c r="M106" s="1">
        <f>SUBTOTAL(109,Дума_одномандатный[Число избирательных бюллетеней, выданных вне помещения для голосования в день голосования])</f>
        <v>5489</v>
      </c>
      <c r="N106" s="1"/>
      <c r="O106" s="1"/>
      <c r="S106" s="1">
        <f>SUBTOTAL(109,Дума_одномандатный[Обнаружено])</f>
        <v>58836</v>
      </c>
      <c r="T106" s="1"/>
      <c r="V106" s="1"/>
      <c r="Z106" s="1">
        <f>SUBTOTAL(109,Дума_одномандатный[Дуленков Алексей Николаевич])</f>
        <v>2013</v>
      </c>
      <c r="AA106" s="1"/>
      <c r="AB106" s="1">
        <f>SUBTOTAL(109,Дума_одномандатный[Калимуллин Руслан Рамилевич])</f>
        <v>2865</v>
      </c>
      <c r="AC106" s="1"/>
      <c r="AD106" s="1">
        <f>SUBTOTAL(109,Дума_одномандатный[Кумохин Александр Геннадиевич])</f>
        <v>3241</v>
      </c>
      <c r="AE106" s="1"/>
      <c r="AF106" s="1">
        <f>SUBTOTAL(109,Дума_одномандатный[Майданов Денис Васильевич])</f>
        <v>26161</v>
      </c>
      <c r="AG106" s="1"/>
      <c r="AH106" s="1">
        <f>SUBTOTAL(109,Дума_одномандатный[Пархоменко Дмитрий Владимирович])</f>
        <v>5226</v>
      </c>
      <c r="AI106" s="1"/>
      <c r="AJ106" s="1">
        <f>SUBTOTAL(109,Дума_одномандатный[Степанов Федор Александрович])</f>
        <v>4093</v>
      </c>
      <c r="AK106" s="1"/>
      <c r="AL106" s="1">
        <f>SUBTOTAL(109,Дума_одномандатный[Сукязян Артур Вадимович])</f>
        <v>986</v>
      </c>
      <c r="AM106" s="1"/>
      <c r="AN106" s="1">
        <f>SUBTOTAL(109,Дума_одномандатный[Теняев Сергей Александрович])</f>
        <v>7470</v>
      </c>
      <c r="AO106" s="1"/>
      <c r="AP106" s="1">
        <f>SUBTOTAL(109,Дума_одномандатный[Ханафиев Жаудат Габдулганиевич])</f>
        <v>1868</v>
      </c>
      <c r="AQ106" s="1"/>
      <c r="AR106" s="1">
        <f>SUBTOTAL(109,Дума_одномандатный[Шерягин Владимир Геннадьевич])</f>
        <v>1129</v>
      </c>
      <c r="AS106" s="1"/>
      <c r="AV106" s="13">
        <f>SUBTOTAL(109,Дума_одномандатный[Вброс])</f>
        <v>11277.757575757571</v>
      </c>
      <c r="AW106" s="13">
        <f>SUBTOTAL(109,Дума_одномандатный[Перекладывание])</f>
        <v>14886.640000000003</v>
      </c>
      <c r="AX106" s="13">
        <f>SUBTOTAL(109,Дума_одномандатный[Оценка числа бюллетеней, сфальсифицированных в пользу ЕР])</f>
        <v>13082.198787878786</v>
      </c>
    </row>
    <row r="107" spans="1:51" x14ac:dyDescent="0.4">
      <c r="A107" s="3"/>
      <c r="B107" s="3"/>
      <c r="C107" s="3"/>
      <c r="D107" s="3"/>
      <c r="E107" s="3"/>
      <c r="F107" s="3"/>
      <c r="G107" s="3"/>
      <c r="H107" s="3"/>
      <c r="I107" s="3"/>
      <c r="J107" s="3"/>
      <c r="K107" s="3"/>
      <c r="L107" s="3" t="s">
        <v>52</v>
      </c>
      <c r="M107" s="3">
        <f>100*(L106+M106)/H106</f>
        <v>44.680415031613144</v>
      </c>
      <c r="P107" s="3"/>
      <c r="Q107" s="3"/>
      <c r="R107" s="3"/>
      <c r="S107" s="3"/>
      <c r="U107" s="3"/>
      <c r="W107" s="3"/>
      <c r="X107" s="3"/>
      <c r="Y107" s="3"/>
      <c r="Z107" s="3">
        <f>100*Z106/$S106</f>
        <v>3.4213746685702633</v>
      </c>
      <c r="AB107" s="3">
        <f>100*AB106/$S106</f>
        <v>4.8694676728533555</v>
      </c>
      <c r="AD107" s="3">
        <f>100*AD106/$S106</f>
        <v>5.5085321911754708</v>
      </c>
      <c r="AF107" s="3">
        <f>100*AF106/$S106</f>
        <v>44.464273574002313</v>
      </c>
      <c r="AH107" s="3">
        <f>100*AH106/$S106</f>
        <v>8.882316948806853</v>
      </c>
      <c r="AJ107" s="3">
        <f>100*AJ106/$S106</f>
        <v>6.9566251954585629</v>
      </c>
      <c r="AL107" s="3">
        <f>100*AL106/$S106</f>
        <v>1.6758447209191651</v>
      </c>
      <c r="AN107" s="3">
        <f>100*AN106/$S106</f>
        <v>12.696308382622885</v>
      </c>
      <c r="AP107" s="3">
        <f>100*AP106/$S106</f>
        <v>3.1749269154939155</v>
      </c>
      <c r="AR107" s="3">
        <f>100*AR106/$S106</f>
        <v>1.9188931946427357</v>
      </c>
      <c r="AT107" s="3"/>
      <c r="AV107" s="3">
        <f>AV106*100/Дума_одномандатный[[#Totals],[Майданов Денис Васильевич]]</f>
        <v>43.109046197613132</v>
      </c>
      <c r="AW107" s="3">
        <f>AW106*100/Дума_одномандатный[[#Totals],[Майданов Денис Васильевич]]</f>
        <v>56.903940980849363</v>
      </c>
      <c r="AX107" s="3">
        <f>AX106*100/Дума_одномандатный[[#Totals],[Майданов Денис Васильевич]]</f>
        <v>50.006493589231248</v>
      </c>
    </row>
    <row r="123" spans="28:28" x14ac:dyDescent="0.4">
      <c r="AB123" s="1" t="s">
        <v>226</v>
      </c>
    </row>
    <row r="124" spans="28:28" x14ac:dyDescent="0.4">
      <c r="AB124" s="12">
        <v>34</v>
      </c>
    </row>
    <row r="142" spans="28:28" x14ac:dyDescent="0.4">
      <c r="AB142" s="1" t="s">
        <v>297</v>
      </c>
    </row>
    <row r="143" spans="28:28" x14ac:dyDescent="0.4">
      <c r="AB143" s="1">
        <f>MAX($I2:$I105)</f>
        <v>3388</v>
      </c>
    </row>
  </sheetData>
  <phoneticPr fontId="3" type="noConversion"/>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1D17D-0503-4D46-9F1F-4682865F59D3}">
  <dimension ref="B1:AQ143"/>
  <sheetViews>
    <sheetView topLeftCell="F1" zoomScale="70" zoomScaleNormal="70" workbookViewId="0">
      <pane ySplit="1" topLeftCell="A93" activePane="bottomLeft" state="frozen"/>
      <selection pane="bottomLeft" activeCell="AB141" sqref="AB141"/>
    </sheetView>
  </sheetViews>
  <sheetFormatPr defaultRowHeight="14.15" x14ac:dyDescent="0.4"/>
  <cols>
    <col min="1" max="1" width="6.23046875" style="1" customWidth="1"/>
    <col min="2" max="6" width="6.3046875" style="1" customWidth="1"/>
    <col min="7" max="7" width="16.765625" style="1" customWidth="1"/>
    <col min="8" max="13" width="6.3046875" style="1" customWidth="1"/>
    <col min="14" max="15" width="6.3046875" style="3" customWidth="1"/>
    <col min="16" max="19" width="6.3046875" style="1" customWidth="1"/>
    <col min="20" max="20" width="6.3046875" style="3" customWidth="1"/>
    <col min="21" max="21" width="6.3046875" style="1" customWidth="1"/>
    <col min="22" max="22" width="6.3046875" style="3" customWidth="1"/>
    <col min="23" max="26" width="6.3046875" style="1" customWidth="1"/>
    <col min="27" max="27" width="6.3046875" style="3" customWidth="1"/>
    <col min="28" max="28" width="6.3046875" style="1" customWidth="1"/>
    <col min="29" max="29" width="6.3046875" style="3" customWidth="1"/>
    <col min="30" max="30" width="6.3046875" style="1" customWidth="1"/>
    <col min="31" max="31" width="6.3046875" style="3" customWidth="1"/>
    <col min="32" max="32" width="6.3046875" style="1" customWidth="1"/>
    <col min="33" max="33" width="6.3046875" style="3" customWidth="1"/>
    <col min="34" max="34" width="6.3046875" style="1" customWidth="1"/>
    <col min="35" max="35" width="6.3046875" style="3" customWidth="1"/>
    <col min="36" max="36" width="6.3046875" style="1" customWidth="1"/>
    <col min="37" max="37" width="6.3046875" style="3" customWidth="1"/>
    <col min="38" max="39" width="6.3046875" style="1" customWidth="1"/>
    <col min="40" max="42" width="6.23046875" style="1" customWidth="1"/>
    <col min="43" max="43" width="15.3828125" style="1" customWidth="1"/>
    <col min="44" max="16384" width="9.23046875" style="1"/>
  </cols>
  <sheetData>
    <row r="1" spans="2:43" x14ac:dyDescent="0.4">
      <c r="B1" s="1" t="s">
        <v>0</v>
      </c>
      <c r="C1" s="1" t="s">
        <v>2</v>
      </c>
      <c r="D1" s="1" t="s">
        <v>3</v>
      </c>
      <c r="E1" s="1" t="s">
        <v>4</v>
      </c>
      <c r="F1" s="5" t="s">
        <v>98</v>
      </c>
      <c r="G1" s="5" t="s">
        <v>99</v>
      </c>
      <c r="H1" s="1" t="s">
        <v>53</v>
      </c>
      <c r="I1" s="1" t="s">
        <v>101</v>
      </c>
      <c r="J1" s="1" t="s">
        <v>54</v>
      </c>
      <c r="K1" s="1" t="s">
        <v>100</v>
      </c>
      <c r="L1" s="1" t="s">
        <v>55</v>
      </c>
      <c r="M1" s="1" t="s">
        <v>56</v>
      </c>
      <c r="N1" s="3" t="s">
        <v>10</v>
      </c>
      <c r="O1" s="3" t="s">
        <v>93</v>
      </c>
      <c r="P1" s="1" t="s">
        <v>57</v>
      </c>
      <c r="Q1" s="1" t="s">
        <v>58</v>
      </c>
      <c r="R1" s="1" t="s">
        <v>59</v>
      </c>
      <c r="S1" s="1" t="s">
        <v>15</v>
      </c>
      <c r="T1" s="8" t="s">
        <v>11</v>
      </c>
      <c r="U1" s="1" t="s">
        <v>60</v>
      </c>
      <c r="V1" s="8" t="s">
        <v>94</v>
      </c>
      <c r="W1" s="1" t="s">
        <v>61</v>
      </c>
      <c r="X1" s="1" t="s">
        <v>62</v>
      </c>
      <c r="Y1" s="1" t="s">
        <v>63</v>
      </c>
      <c r="Z1" t="s">
        <v>212</v>
      </c>
      <c r="AA1" t="s">
        <v>213</v>
      </c>
      <c r="AB1" t="s">
        <v>214</v>
      </c>
      <c r="AC1" t="s">
        <v>215</v>
      </c>
      <c r="AD1" t="s">
        <v>216</v>
      </c>
      <c r="AE1" t="s">
        <v>217</v>
      </c>
      <c r="AF1" t="s">
        <v>218</v>
      </c>
      <c r="AG1" t="s">
        <v>219</v>
      </c>
      <c r="AH1" t="s">
        <v>83</v>
      </c>
      <c r="AI1" t="s">
        <v>84</v>
      </c>
      <c r="AJ1" t="s">
        <v>220</v>
      </c>
      <c r="AK1" t="s">
        <v>221</v>
      </c>
      <c r="AL1" s="1" t="s">
        <v>48</v>
      </c>
      <c r="AM1" s="9" t="s">
        <v>96</v>
      </c>
      <c r="AN1" s="14" t="s">
        <v>222</v>
      </c>
      <c r="AO1" s="14" t="s">
        <v>223</v>
      </c>
      <c r="AP1" s="14" t="s">
        <v>224</v>
      </c>
      <c r="AQ1" s="1" t="s">
        <v>256</v>
      </c>
    </row>
    <row r="2" spans="2:43" x14ac:dyDescent="0.4">
      <c r="B2" t="s">
        <v>74</v>
      </c>
      <c r="C2" t="s">
        <v>207</v>
      </c>
      <c r="D2" t="s">
        <v>102</v>
      </c>
      <c r="E2" t="s">
        <v>103</v>
      </c>
      <c r="F2" s="2">
        <f t="shared" ref="F2:F33" ca="1" si="0">SUMPRODUCT(MID(0&amp;E2, LARGE(INDEX(ISNUMBER(--MID(E2, ROW(INDIRECT("1:"&amp;LEN(E2))), 1)) * ROW(INDIRECT("1:"&amp;LEN(E2))), 0), ROW(INDIRECT("1:"&amp;LEN(E2))))+1, 1) * 10^ROW(INDIRECT("1:"&amp;LEN(E2)))/10)</f>
        <v>1742</v>
      </c>
      <c r="G2" s="2" t="str">
        <f>Дума_партии[[#This Row],[Местоположение]]</f>
        <v>Наро-Фоминск</v>
      </c>
      <c r="H2">
        <v>686</v>
      </c>
      <c r="I2" s="1">
        <f>Мособлдума_одномандатный[[#This Row],[Число избирателей, внесенных в список на момент окончания голосования]]</f>
        <v>686</v>
      </c>
      <c r="J2">
        <v>600</v>
      </c>
      <c r="L2">
        <v>261</v>
      </c>
      <c r="M2">
        <v>8</v>
      </c>
      <c r="N2" s="3">
        <f t="shared" ref="N2:N39" si="1">100*(L2+M2)/H2</f>
        <v>39.212827988338191</v>
      </c>
      <c r="O2" s="3">
        <f t="shared" ref="O2:O39" si="2">100*M2/H2</f>
        <v>1.1661807580174928</v>
      </c>
      <c r="P2">
        <v>331</v>
      </c>
      <c r="Q2">
        <v>8</v>
      </c>
      <c r="R2">
        <v>261</v>
      </c>
      <c r="S2" s="1">
        <f>Q2+R2</f>
        <v>269</v>
      </c>
      <c r="T2" s="3">
        <f>100*Q2/S2</f>
        <v>2.9739776951672861</v>
      </c>
      <c r="U2">
        <v>14</v>
      </c>
      <c r="V2" s="3">
        <f>100*U2/S2</f>
        <v>5.2044609665427508</v>
      </c>
      <c r="W2">
        <v>255</v>
      </c>
      <c r="X2">
        <v>0</v>
      </c>
      <c r="Y2">
        <v>0</v>
      </c>
      <c r="Z2">
        <v>81</v>
      </c>
      <c r="AA2" s="3">
        <f>100*Z2/$S2</f>
        <v>30.111524163568774</v>
      </c>
      <c r="AB2">
        <v>12</v>
      </c>
      <c r="AC2" s="3">
        <f>100*AB2/$S2</f>
        <v>4.4609665427509295</v>
      </c>
      <c r="AD2">
        <v>22</v>
      </c>
      <c r="AE2" s="3">
        <f>100*AD2/$S2</f>
        <v>8.1784386617100377</v>
      </c>
      <c r="AF2">
        <v>15</v>
      </c>
      <c r="AG2" s="3">
        <f>100*AF2/$S2</f>
        <v>5.5762081784386615</v>
      </c>
      <c r="AH2">
        <v>30</v>
      </c>
      <c r="AI2" s="3">
        <f>100*AH2/$S2</f>
        <v>11.152416356877323</v>
      </c>
      <c r="AJ2">
        <v>95</v>
      </c>
      <c r="AK2" s="3">
        <f>100*AJ2/$S2</f>
        <v>35.315985130111521</v>
      </c>
      <c r="AL2" t="s">
        <v>208</v>
      </c>
      <c r="AN2"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12.575757575757564</v>
      </c>
      <c r="AO2" s="13">
        <f>2*(Мособлдума_одномандатный[[#This Row],[Рожнов Олег Александрович]]-(AB$124/100)*Мособлдума_одномандатный[[#This Row],[Число действительных бюллетеней]])</f>
        <v>16.599999999999994</v>
      </c>
      <c r="AP2" s="13">
        <f>(Мособлдума_одномандатный[[#This Row],[Вброс]]+Мособлдума_одномандатный[[#This Row],[Перекладывание]])/2</f>
        <v>14.587878787878779</v>
      </c>
      <c r="AQ2" s="13">
        <f>Дума_партии[[#This Row],[Зона ответственности в сен. 2022 г.]]</f>
        <v>0</v>
      </c>
    </row>
    <row r="3" spans="2:43" x14ac:dyDescent="0.4">
      <c r="B3" t="s">
        <v>74</v>
      </c>
      <c r="C3" t="s">
        <v>207</v>
      </c>
      <c r="D3" t="s">
        <v>102</v>
      </c>
      <c r="E3" t="s">
        <v>104</v>
      </c>
      <c r="F3" s="1">
        <f t="shared" ca="1" si="0"/>
        <v>1743</v>
      </c>
      <c r="G3" s="2" t="str">
        <f>Дума_партии[[#This Row],[Местоположение]]</f>
        <v>Наро-Фоминск</v>
      </c>
      <c r="H3">
        <v>1338</v>
      </c>
      <c r="I3" s="1">
        <f>Мособлдума_одномандатный[[#This Row],[Число избирателей, внесенных в список на момент окончания голосования]]</f>
        <v>1338</v>
      </c>
      <c r="J3">
        <v>1300</v>
      </c>
      <c r="L3">
        <v>489</v>
      </c>
      <c r="M3">
        <v>20</v>
      </c>
      <c r="N3" s="3">
        <f t="shared" si="1"/>
        <v>38.041853512705529</v>
      </c>
      <c r="O3" s="3">
        <f t="shared" si="2"/>
        <v>1.4947683109118086</v>
      </c>
      <c r="P3">
        <v>791</v>
      </c>
      <c r="Q3">
        <v>20</v>
      </c>
      <c r="R3">
        <v>489</v>
      </c>
      <c r="S3" s="1">
        <f t="shared" ref="S3:S39" si="3">Q3+R3</f>
        <v>509</v>
      </c>
      <c r="T3" s="3">
        <f t="shared" ref="T3:T39" si="4">100*Q3/S3</f>
        <v>3.9292730844793713</v>
      </c>
      <c r="U3">
        <v>45</v>
      </c>
      <c r="V3" s="3">
        <f t="shared" ref="V3:V39" si="5">100*U3/S3</f>
        <v>8.840864440078585</v>
      </c>
      <c r="W3">
        <v>464</v>
      </c>
      <c r="X3">
        <v>0</v>
      </c>
      <c r="Y3">
        <v>0</v>
      </c>
      <c r="Z3">
        <v>109</v>
      </c>
      <c r="AA3" s="3">
        <f t="shared" ref="AA3:AC18" si="6">100*Z3/$S3</f>
        <v>21.414538310412574</v>
      </c>
      <c r="AB3">
        <v>39</v>
      </c>
      <c r="AC3" s="3">
        <f t="shared" si="6"/>
        <v>7.6620825147347738</v>
      </c>
      <c r="AD3">
        <v>57</v>
      </c>
      <c r="AE3" s="3">
        <f t="shared" ref="AE3:AG18" si="7">100*AD3/$S3</f>
        <v>11.198428290766207</v>
      </c>
      <c r="AF3">
        <v>26</v>
      </c>
      <c r="AG3" s="3">
        <f t="shared" si="7"/>
        <v>5.1080550098231825</v>
      </c>
      <c r="AH3">
        <v>46</v>
      </c>
      <c r="AI3" s="3">
        <f t="shared" ref="AI3:AK18" si="8">100*AH3/$S3</f>
        <v>9.0373280943025538</v>
      </c>
      <c r="AJ3">
        <v>187</v>
      </c>
      <c r="AK3" s="3">
        <f t="shared" si="8"/>
        <v>36.738703339882122</v>
      </c>
      <c r="AL3" t="s">
        <v>208</v>
      </c>
      <c r="AN3"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44.303030303030283</v>
      </c>
      <c r="AO3" s="13">
        <f>2*(Мособлдума_одномандатный[[#This Row],[Рожнов Олег Александрович]]-(AB$124/100)*Мособлдума_одномандатный[[#This Row],[Число действительных бюллетеней]])</f>
        <v>58.479999999999961</v>
      </c>
      <c r="AP3" s="13">
        <f>(Мособлдума_одномандатный[[#This Row],[Вброс]]+Мособлдума_одномандатный[[#This Row],[Перекладывание]])/2</f>
        <v>51.391515151515122</v>
      </c>
      <c r="AQ3" s="13">
        <f>Дума_партии[[#This Row],[Зона ответственности в сен. 2022 г.]]</f>
        <v>0</v>
      </c>
    </row>
    <row r="4" spans="2:43" x14ac:dyDescent="0.4">
      <c r="B4" t="s">
        <v>74</v>
      </c>
      <c r="C4" t="s">
        <v>207</v>
      </c>
      <c r="D4" t="s">
        <v>102</v>
      </c>
      <c r="E4" t="s">
        <v>105</v>
      </c>
      <c r="F4" s="1">
        <f t="shared" ca="1" si="0"/>
        <v>1744</v>
      </c>
      <c r="G4" s="2" t="str">
        <f>Дума_партии[[#This Row],[Местоположение]]</f>
        <v>Наро-Фоминск</v>
      </c>
      <c r="H4">
        <v>1083</v>
      </c>
      <c r="I4" s="1">
        <f>Мособлдума_одномандатный[[#This Row],[Число избирателей, внесенных в список на момент окончания голосования]]</f>
        <v>1083</v>
      </c>
      <c r="J4">
        <v>1000</v>
      </c>
      <c r="L4">
        <v>421</v>
      </c>
      <c r="M4">
        <v>6</v>
      </c>
      <c r="N4" s="3">
        <f t="shared" si="1"/>
        <v>39.427516158818101</v>
      </c>
      <c r="O4" s="3">
        <f t="shared" si="2"/>
        <v>0.554016620498615</v>
      </c>
      <c r="P4">
        <v>573</v>
      </c>
      <c r="Q4">
        <v>6</v>
      </c>
      <c r="R4">
        <v>421</v>
      </c>
      <c r="S4" s="1">
        <f t="shared" si="3"/>
        <v>427</v>
      </c>
      <c r="T4" s="3">
        <f t="shared" si="4"/>
        <v>1.405152224824356</v>
      </c>
      <c r="U4">
        <v>19</v>
      </c>
      <c r="V4" s="3">
        <f t="shared" si="5"/>
        <v>4.4496487119437935</v>
      </c>
      <c r="W4">
        <v>408</v>
      </c>
      <c r="X4">
        <v>0</v>
      </c>
      <c r="Y4">
        <v>0</v>
      </c>
      <c r="Z4">
        <v>47</v>
      </c>
      <c r="AA4" s="3">
        <f t="shared" si="6"/>
        <v>11.007025761124122</v>
      </c>
      <c r="AB4">
        <v>38</v>
      </c>
      <c r="AC4" s="3">
        <f t="shared" si="6"/>
        <v>8.899297423887587</v>
      </c>
      <c r="AD4">
        <v>30</v>
      </c>
      <c r="AE4" s="3">
        <f t="shared" si="7"/>
        <v>7.0257611241217797</v>
      </c>
      <c r="AF4">
        <v>49</v>
      </c>
      <c r="AG4" s="3">
        <f t="shared" si="7"/>
        <v>11.475409836065573</v>
      </c>
      <c r="AH4">
        <v>34</v>
      </c>
      <c r="AI4" s="3">
        <f t="shared" si="8"/>
        <v>7.9625292740046838</v>
      </c>
      <c r="AJ4">
        <v>210</v>
      </c>
      <c r="AK4" s="3">
        <f t="shared" si="8"/>
        <v>49.180327868852459</v>
      </c>
      <c r="AL4" t="s">
        <v>208</v>
      </c>
      <c r="AN4"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107.99999999999999</v>
      </c>
      <c r="AO4" s="13">
        <f>2*(Мособлдума_одномандатный[[#This Row],[Рожнов Олег Александрович]]-(AB$124/100)*Мособлдума_одномандатный[[#This Row],[Число действительных бюллетеней]])</f>
        <v>142.56</v>
      </c>
      <c r="AP4" s="13">
        <f>(Мособлдума_одномандатный[[#This Row],[Вброс]]+Мособлдума_одномандатный[[#This Row],[Перекладывание]])/2</f>
        <v>125.28</v>
      </c>
      <c r="AQ4" s="13">
        <f>Дума_партии[[#This Row],[Зона ответственности в сен. 2022 г.]]</f>
        <v>0</v>
      </c>
    </row>
    <row r="5" spans="2:43" x14ac:dyDescent="0.4">
      <c r="B5" t="s">
        <v>74</v>
      </c>
      <c r="C5" t="s">
        <v>207</v>
      </c>
      <c r="D5" t="s">
        <v>102</v>
      </c>
      <c r="E5" t="s">
        <v>106</v>
      </c>
      <c r="F5" s="1">
        <f t="shared" ca="1" si="0"/>
        <v>1745</v>
      </c>
      <c r="G5" s="2" t="str">
        <f>Дума_партии[[#This Row],[Местоположение]]</f>
        <v>Наро-Фоминск</v>
      </c>
      <c r="H5">
        <v>1508</v>
      </c>
      <c r="I5" s="1">
        <f>Мособлдума_одномандатный[[#This Row],[Число избирателей, внесенных в список на момент окончания голосования]]</f>
        <v>1508</v>
      </c>
      <c r="J5">
        <v>1500</v>
      </c>
      <c r="L5">
        <v>591</v>
      </c>
      <c r="M5">
        <v>10</v>
      </c>
      <c r="N5" s="3">
        <f t="shared" si="1"/>
        <v>39.854111405835546</v>
      </c>
      <c r="O5" s="3">
        <f t="shared" si="2"/>
        <v>0.66312997347480107</v>
      </c>
      <c r="P5">
        <v>899</v>
      </c>
      <c r="Q5">
        <v>10</v>
      </c>
      <c r="R5">
        <v>591</v>
      </c>
      <c r="S5" s="1">
        <f t="shared" si="3"/>
        <v>601</v>
      </c>
      <c r="T5" s="3">
        <f t="shared" si="4"/>
        <v>1.6638935108153079</v>
      </c>
      <c r="U5">
        <v>42</v>
      </c>
      <c r="V5" s="3">
        <f t="shared" si="5"/>
        <v>6.9883527454242929</v>
      </c>
      <c r="W5">
        <v>559</v>
      </c>
      <c r="X5">
        <v>0</v>
      </c>
      <c r="Y5">
        <v>0</v>
      </c>
      <c r="Z5">
        <v>128</v>
      </c>
      <c r="AA5" s="3">
        <f t="shared" si="6"/>
        <v>21.297836938435939</v>
      </c>
      <c r="AB5">
        <v>42</v>
      </c>
      <c r="AC5" s="3">
        <f t="shared" si="6"/>
        <v>6.9883527454242929</v>
      </c>
      <c r="AD5">
        <v>57</v>
      </c>
      <c r="AE5" s="3">
        <f t="shared" si="7"/>
        <v>9.484193011647255</v>
      </c>
      <c r="AF5">
        <v>63</v>
      </c>
      <c r="AG5" s="3">
        <f t="shared" si="7"/>
        <v>10.482529118136439</v>
      </c>
      <c r="AH5">
        <v>53</v>
      </c>
      <c r="AI5" s="3">
        <f t="shared" si="8"/>
        <v>8.8186356073211307</v>
      </c>
      <c r="AJ5">
        <v>216</v>
      </c>
      <c r="AK5" s="3">
        <f t="shared" si="8"/>
        <v>35.940099833610645</v>
      </c>
      <c r="AL5" t="s">
        <v>208</v>
      </c>
      <c r="AN5"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39.303030303030283</v>
      </c>
      <c r="AO5" s="13">
        <f>2*(Мособлдума_одномандатный[[#This Row],[Рожнов Олег Александрович]]-(AB$124/100)*Мособлдума_одномандатный[[#This Row],[Число действительных бюллетеней]])</f>
        <v>51.879999999999995</v>
      </c>
      <c r="AP5" s="13">
        <f>(Мособлдума_одномандатный[[#This Row],[Вброс]]+Мособлдума_одномандатный[[#This Row],[Перекладывание]])/2</f>
        <v>45.591515151515139</v>
      </c>
      <c r="AQ5" s="13">
        <f>Дума_партии[[#This Row],[Зона ответственности в сен. 2022 г.]]</f>
        <v>0</v>
      </c>
    </row>
    <row r="6" spans="2:43" x14ac:dyDescent="0.4">
      <c r="B6" t="s">
        <v>74</v>
      </c>
      <c r="C6" t="s">
        <v>207</v>
      </c>
      <c r="D6" t="s">
        <v>102</v>
      </c>
      <c r="E6" t="s">
        <v>107</v>
      </c>
      <c r="F6" s="1">
        <f t="shared" ca="1" si="0"/>
        <v>1746</v>
      </c>
      <c r="G6" s="2" t="str">
        <f>Дума_партии[[#This Row],[Местоположение]]</f>
        <v>Наро-Фоминск</v>
      </c>
      <c r="H6">
        <v>1446</v>
      </c>
      <c r="I6" s="1">
        <f>Мособлдума_одномандатный[[#This Row],[Число избирателей, внесенных в список на момент окончания голосования]]</f>
        <v>1446</v>
      </c>
      <c r="J6">
        <v>1400</v>
      </c>
      <c r="L6">
        <v>477</v>
      </c>
      <c r="M6">
        <v>4</v>
      </c>
      <c r="N6" s="3">
        <f t="shared" si="1"/>
        <v>33.264177040110653</v>
      </c>
      <c r="O6" s="3">
        <f t="shared" si="2"/>
        <v>0.27662517289073307</v>
      </c>
      <c r="P6">
        <v>919</v>
      </c>
      <c r="Q6">
        <v>4</v>
      </c>
      <c r="R6">
        <v>477</v>
      </c>
      <c r="S6" s="1">
        <f t="shared" si="3"/>
        <v>481</v>
      </c>
      <c r="T6" s="3">
        <f t="shared" si="4"/>
        <v>0.83160083160083165</v>
      </c>
      <c r="U6">
        <v>30</v>
      </c>
      <c r="V6" s="3">
        <f t="shared" si="5"/>
        <v>6.2370062370062369</v>
      </c>
      <c r="W6">
        <v>451</v>
      </c>
      <c r="X6">
        <v>0</v>
      </c>
      <c r="Y6">
        <v>0</v>
      </c>
      <c r="Z6">
        <v>73</v>
      </c>
      <c r="AA6" s="3">
        <f t="shared" si="6"/>
        <v>15.176715176715177</v>
      </c>
      <c r="AB6">
        <v>22</v>
      </c>
      <c r="AC6" s="3">
        <f t="shared" si="6"/>
        <v>4.5738045738045736</v>
      </c>
      <c r="AD6">
        <v>44</v>
      </c>
      <c r="AE6" s="3">
        <f t="shared" si="7"/>
        <v>9.1476091476091472</v>
      </c>
      <c r="AF6">
        <v>21</v>
      </c>
      <c r="AG6" s="3">
        <f t="shared" si="7"/>
        <v>4.3659043659043659</v>
      </c>
      <c r="AH6">
        <v>41</v>
      </c>
      <c r="AI6" s="3">
        <f t="shared" si="8"/>
        <v>8.5239085239085242</v>
      </c>
      <c r="AJ6">
        <v>250</v>
      </c>
      <c r="AK6" s="3">
        <f t="shared" si="8"/>
        <v>51.975051975051976</v>
      </c>
      <c r="AL6" t="s">
        <v>208</v>
      </c>
      <c r="AN6"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146.45454545454544</v>
      </c>
      <c r="AO6" s="13">
        <f>2*(Мособлдума_одномандатный[[#This Row],[Рожнов Олег Александрович]]-(AB$124/100)*Мособлдума_одномандатный[[#This Row],[Число действительных бюллетеней]])</f>
        <v>193.32</v>
      </c>
      <c r="AP6" s="13">
        <f>(Мособлдума_одномандатный[[#This Row],[Вброс]]+Мособлдума_одномандатный[[#This Row],[Перекладывание]])/2</f>
        <v>169.88727272727272</v>
      </c>
      <c r="AQ6" s="13">
        <f>Дума_партии[[#This Row],[Зона ответственности в сен. 2022 г.]]</f>
        <v>0</v>
      </c>
    </row>
    <row r="7" spans="2:43" x14ac:dyDescent="0.4">
      <c r="B7" t="s">
        <v>74</v>
      </c>
      <c r="C7" t="s">
        <v>207</v>
      </c>
      <c r="D7" t="s">
        <v>102</v>
      </c>
      <c r="E7" t="s">
        <v>108</v>
      </c>
      <c r="F7" s="1">
        <f t="shared" ca="1" si="0"/>
        <v>1747</v>
      </c>
      <c r="G7" s="1" t="str">
        <f>Дума_партии[[#This Row],[Местоположение]]</f>
        <v>Наро-Фоминск</v>
      </c>
      <c r="H7">
        <v>1286</v>
      </c>
      <c r="I7" s="1">
        <f>Мособлдума_одномандатный[[#This Row],[Число избирателей, внесенных в список на момент окончания голосования]]</f>
        <v>1286</v>
      </c>
      <c r="J7">
        <v>1200</v>
      </c>
      <c r="L7">
        <v>543</v>
      </c>
      <c r="M7">
        <v>6</v>
      </c>
      <c r="N7" s="3">
        <f t="shared" si="1"/>
        <v>42.690513219284604</v>
      </c>
      <c r="O7" s="3">
        <f t="shared" si="2"/>
        <v>0.46656298600311041</v>
      </c>
      <c r="P7">
        <v>651</v>
      </c>
      <c r="Q7">
        <v>6</v>
      </c>
      <c r="R7">
        <v>541</v>
      </c>
      <c r="S7" s="1">
        <f t="shared" si="3"/>
        <v>547</v>
      </c>
      <c r="T7" s="3">
        <f t="shared" si="4"/>
        <v>1.0968921389396709</v>
      </c>
      <c r="U7">
        <v>45</v>
      </c>
      <c r="V7" s="3">
        <f t="shared" si="5"/>
        <v>8.2266910420475323</v>
      </c>
      <c r="W7">
        <v>502</v>
      </c>
      <c r="X7">
        <v>0</v>
      </c>
      <c r="Y7">
        <v>0</v>
      </c>
      <c r="Z7">
        <v>107</v>
      </c>
      <c r="AA7" s="3">
        <f t="shared" si="6"/>
        <v>19.561243144424132</v>
      </c>
      <c r="AB7">
        <v>50</v>
      </c>
      <c r="AC7" s="3">
        <f t="shared" si="6"/>
        <v>9.1407678244972583</v>
      </c>
      <c r="AD7">
        <v>51</v>
      </c>
      <c r="AE7" s="3">
        <f t="shared" si="7"/>
        <v>9.3235831809872032</v>
      </c>
      <c r="AF7">
        <v>46</v>
      </c>
      <c r="AG7" s="3">
        <f t="shared" si="7"/>
        <v>8.4095063985374772</v>
      </c>
      <c r="AH7">
        <v>43</v>
      </c>
      <c r="AI7" s="3">
        <f t="shared" si="8"/>
        <v>7.8610603290676417</v>
      </c>
      <c r="AJ7">
        <v>205</v>
      </c>
      <c r="AK7" s="3">
        <f t="shared" si="8"/>
        <v>37.477148080438759</v>
      </c>
      <c r="AL7" t="s">
        <v>208</v>
      </c>
      <c r="AN7"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51.999999999999972</v>
      </c>
      <c r="AO7" s="13">
        <f>2*(Мособлдума_одномандатный[[#This Row],[Рожнов Олег Александрович]]-(AB$124/100)*Мособлдума_одномандатный[[#This Row],[Число действительных бюллетеней]])</f>
        <v>68.639999999999986</v>
      </c>
      <c r="AP7" s="13">
        <f>(Мособлдума_одномандатный[[#This Row],[Вброс]]+Мособлдума_одномандатный[[#This Row],[Перекладывание]])/2</f>
        <v>60.319999999999979</v>
      </c>
      <c r="AQ7" s="13">
        <f>Дума_партии[[#This Row],[Зона ответственности в сен. 2022 г.]]</f>
        <v>0</v>
      </c>
    </row>
    <row r="8" spans="2:43" x14ac:dyDescent="0.4">
      <c r="B8" t="s">
        <v>74</v>
      </c>
      <c r="C8" t="s">
        <v>207</v>
      </c>
      <c r="D8" t="s">
        <v>102</v>
      </c>
      <c r="E8" t="s">
        <v>109</v>
      </c>
      <c r="F8" s="1">
        <f t="shared" ca="1" si="0"/>
        <v>1748</v>
      </c>
      <c r="G8" s="1" t="str">
        <f>Дума_партии[[#This Row],[Местоположение]]</f>
        <v>Наро-Фоминск</v>
      </c>
      <c r="H8">
        <v>1105</v>
      </c>
      <c r="I8" s="1">
        <f>Мособлдума_одномандатный[[#This Row],[Число избирателей, внесенных в список на момент окончания голосования]]</f>
        <v>1105</v>
      </c>
      <c r="J8">
        <v>1100</v>
      </c>
      <c r="L8">
        <v>465</v>
      </c>
      <c r="M8">
        <v>14</v>
      </c>
      <c r="N8" s="3">
        <f t="shared" si="1"/>
        <v>43.348416289592762</v>
      </c>
      <c r="O8" s="3">
        <f t="shared" si="2"/>
        <v>1.2669683257918551</v>
      </c>
      <c r="P8">
        <v>621</v>
      </c>
      <c r="Q8">
        <v>14</v>
      </c>
      <c r="R8">
        <v>464</v>
      </c>
      <c r="S8" s="1">
        <f t="shared" si="3"/>
        <v>478</v>
      </c>
      <c r="T8" s="3">
        <f t="shared" si="4"/>
        <v>2.9288702928870292</v>
      </c>
      <c r="U8">
        <v>21</v>
      </c>
      <c r="V8" s="3">
        <f t="shared" si="5"/>
        <v>4.3933054393305442</v>
      </c>
      <c r="W8">
        <v>457</v>
      </c>
      <c r="X8">
        <v>0</v>
      </c>
      <c r="Y8">
        <v>0</v>
      </c>
      <c r="Z8">
        <v>126</v>
      </c>
      <c r="AA8" s="3">
        <f t="shared" si="6"/>
        <v>26.359832635983263</v>
      </c>
      <c r="AB8">
        <v>34</v>
      </c>
      <c r="AC8" s="3">
        <f t="shared" si="6"/>
        <v>7.1129707112970708</v>
      </c>
      <c r="AD8">
        <v>52</v>
      </c>
      <c r="AE8" s="3">
        <f t="shared" si="7"/>
        <v>10.878661087866108</v>
      </c>
      <c r="AF8">
        <v>34</v>
      </c>
      <c r="AG8" s="3">
        <f t="shared" si="7"/>
        <v>7.1129707112970708</v>
      </c>
      <c r="AH8">
        <v>40</v>
      </c>
      <c r="AI8" s="3">
        <f t="shared" si="8"/>
        <v>8.3682008368200833</v>
      </c>
      <c r="AJ8">
        <v>171</v>
      </c>
      <c r="AK8" s="3">
        <f t="shared" si="8"/>
        <v>35.77405857740586</v>
      </c>
      <c r="AL8" t="s">
        <v>208</v>
      </c>
      <c r="AN8"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23.666666666666629</v>
      </c>
      <c r="AO8" s="13">
        <f>2*(Мособлдума_одномандатный[[#This Row],[Рожнов Олег Александрович]]-(AB$124/100)*Мособлдума_одномандатный[[#This Row],[Число действительных бюллетеней]])</f>
        <v>31.239999999999952</v>
      </c>
      <c r="AP8" s="13">
        <f>(Мособлдума_одномандатный[[#This Row],[Вброс]]+Мособлдума_одномандатный[[#This Row],[Перекладывание]])/2</f>
        <v>27.453333333333291</v>
      </c>
      <c r="AQ8" s="13">
        <f>Дума_партии[[#This Row],[Зона ответственности в сен. 2022 г.]]</f>
        <v>0</v>
      </c>
    </row>
    <row r="9" spans="2:43" x14ac:dyDescent="0.4">
      <c r="B9" t="s">
        <v>74</v>
      </c>
      <c r="C9" t="s">
        <v>207</v>
      </c>
      <c r="D9" t="s">
        <v>102</v>
      </c>
      <c r="E9" t="s">
        <v>110</v>
      </c>
      <c r="F9" s="1">
        <f t="shared" ca="1" si="0"/>
        <v>1749</v>
      </c>
      <c r="G9" s="1" t="str">
        <f>Дума_партии[[#This Row],[Местоположение]]</f>
        <v>Наро-Фоминск</v>
      </c>
      <c r="H9">
        <v>1709</v>
      </c>
      <c r="I9" s="1">
        <f>Мособлдума_одномандатный[[#This Row],[Число избирателей, внесенных в список на момент окончания голосования]]</f>
        <v>1709</v>
      </c>
      <c r="J9">
        <v>1500</v>
      </c>
      <c r="L9">
        <v>633</v>
      </c>
      <c r="M9">
        <v>29</v>
      </c>
      <c r="N9" s="3">
        <f t="shared" si="1"/>
        <v>38.736102984201288</v>
      </c>
      <c r="O9" s="3">
        <f t="shared" si="2"/>
        <v>1.6968987712112347</v>
      </c>
      <c r="P9">
        <v>838</v>
      </c>
      <c r="Q9">
        <v>29</v>
      </c>
      <c r="R9">
        <v>633</v>
      </c>
      <c r="S9" s="1">
        <f t="shared" si="3"/>
        <v>662</v>
      </c>
      <c r="T9" s="3">
        <f t="shared" si="4"/>
        <v>4.380664652567976</v>
      </c>
      <c r="U9">
        <v>49</v>
      </c>
      <c r="V9" s="3">
        <f t="shared" si="5"/>
        <v>7.4018126888217521</v>
      </c>
      <c r="W9">
        <v>613</v>
      </c>
      <c r="X9">
        <v>0</v>
      </c>
      <c r="Y9">
        <v>0</v>
      </c>
      <c r="Z9">
        <v>159</v>
      </c>
      <c r="AA9" s="3">
        <f t="shared" si="6"/>
        <v>24.018126888217523</v>
      </c>
      <c r="AB9">
        <v>57</v>
      </c>
      <c r="AC9" s="3">
        <f t="shared" si="6"/>
        <v>8.6102719033232624</v>
      </c>
      <c r="AD9">
        <v>38</v>
      </c>
      <c r="AE9" s="3">
        <f t="shared" si="7"/>
        <v>5.7401812688821749</v>
      </c>
      <c r="AF9">
        <v>63</v>
      </c>
      <c r="AG9" s="3">
        <f t="shared" si="7"/>
        <v>9.5166163141993962</v>
      </c>
      <c r="AH9">
        <v>55</v>
      </c>
      <c r="AI9" s="3">
        <f t="shared" si="8"/>
        <v>8.3081570996978851</v>
      </c>
      <c r="AJ9">
        <v>241</v>
      </c>
      <c r="AK9" s="3">
        <f t="shared" si="8"/>
        <v>36.404833836858003</v>
      </c>
      <c r="AL9" t="s">
        <v>208</v>
      </c>
      <c r="AN9"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49.363636363636317</v>
      </c>
      <c r="AO9" s="13">
        <f>2*(Мособлдума_одномандатный[[#This Row],[Рожнов Олег Александрович]]-(AB$124/100)*Мособлдума_одномандатный[[#This Row],[Число действительных бюллетеней]])</f>
        <v>65.159999999999968</v>
      </c>
      <c r="AP9" s="13">
        <f>(Мособлдума_одномандатный[[#This Row],[Вброс]]+Мособлдума_одномандатный[[#This Row],[Перекладывание]])/2</f>
        <v>57.261818181818143</v>
      </c>
      <c r="AQ9" s="13">
        <f>Дума_партии[[#This Row],[Зона ответственности в сен. 2022 г.]]</f>
        <v>0</v>
      </c>
    </row>
    <row r="10" spans="2:43" x14ac:dyDescent="0.4">
      <c r="B10" t="s">
        <v>74</v>
      </c>
      <c r="C10" t="s">
        <v>207</v>
      </c>
      <c r="D10" t="s">
        <v>102</v>
      </c>
      <c r="E10" t="s">
        <v>111</v>
      </c>
      <c r="F10" s="1">
        <f t="shared" ca="1" si="0"/>
        <v>1750</v>
      </c>
      <c r="G10" s="1" t="str">
        <f>Дума_партии[[#This Row],[Местоположение]]</f>
        <v>Наро-Фоминск</v>
      </c>
      <c r="H10">
        <v>1390</v>
      </c>
      <c r="I10" s="1">
        <f>Мособлдума_одномандатный[[#This Row],[Число избирателей, внесенных в список на момент окончания голосования]]</f>
        <v>1390</v>
      </c>
      <c r="J10">
        <v>1400</v>
      </c>
      <c r="L10">
        <v>523</v>
      </c>
      <c r="M10">
        <v>24</v>
      </c>
      <c r="N10" s="3">
        <f t="shared" si="1"/>
        <v>39.352517985611513</v>
      </c>
      <c r="O10" s="3">
        <f t="shared" si="2"/>
        <v>1.7266187050359711</v>
      </c>
      <c r="P10">
        <v>853</v>
      </c>
      <c r="Q10">
        <v>24</v>
      </c>
      <c r="R10">
        <v>523</v>
      </c>
      <c r="S10" s="1">
        <f t="shared" si="3"/>
        <v>547</v>
      </c>
      <c r="T10" s="3">
        <f t="shared" si="4"/>
        <v>4.3875685557586834</v>
      </c>
      <c r="U10">
        <v>21</v>
      </c>
      <c r="V10" s="3">
        <f t="shared" si="5"/>
        <v>3.8391224862888484</v>
      </c>
      <c r="W10">
        <v>526</v>
      </c>
      <c r="X10">
        <v>0</v>
      </c>
      <c r="Y10">
        <v>0</v>
      </c>
      <c r="Z10">
        <v>144</v>
      </c>
      <c r="AA10" s="3">
        <f t="shared" si="6"/>
        <v>26.325411334552104</v>
      </c>
      <c r="AB10">
        <v>38</v>
      </c>
      <c r="AC10" s="3">
        <f t="shared" si="6"/>
        <v>6.9469835466179157</v>
      </c>
      <c r="AD10">
        <v>48</v>
      </c>
      <c r="AE10" s="3">
        <f t="shared" si="7"/>
        <v>8.7751371115173669</v>
      </c>
      <c r="AF10">
        <v>45</v>
      </c>
      <c r="AG10" s="3">
        <f t="shared" si="7"/>
        <v>8.2266910420475323</v>
      </c>
      <c r="AH10">
        <v>68</v>
      </c>
      <c r="AI10" s="3">
        <f t="shared" si="8"/>
        <v>12.431444241316271</v>
      </c>
      <c r="AJ10">
        <v>183</v>
      </c>
      <c r="AK10" s="3">
        <f t="shared" si="8"/>
        <v>33.455210237659962</v>
      </c>
      <c r="AL10" t="s">
        <v>208</v>
      </c>
      <c r="AN10"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6.3030303030302832</v>
      </c>
      <c r="AO10" s="13">
        <f>2*(Мособлдума_одномандатный[[#This Row],[Рожнов Олег Александрович]]-(AB$124/100)*Мособлдума_одномандатный[[#This Row],[Число действительных бюллетеней]])</f>
        <v>8.3199999999999932</v>
      </c>
      <c r="AP10" s="13">
        <f>(Мособлдума_одномандатный[[#This Row],[Вброс]]+Мособлдума_одномандатный[[#This Row],[Перекладывание]])/2</f>
        <v>7.3115151515151382</v>
      </c>
      <c r="AQ10" s="13">
        <f>Дума_партии[[#This Row],[Зона ответственности в сен. 2022 г.]]</f>
        <v>0</v>
      </c>
    </row>
    <row r="11" spans="2:43" x14ac:dyDescent="0.4">
      <c r="B11" t="s">
        <v>74</v>
      </c>
      <c r="C11" t="s">
        <v>207</v>
      </c>
      <c r="D11" t="s">
        <v>102</v>
      </c>
      <c r="E11" t="s">
        <v>112</v>
      </c>
      <c r="F11" s="1">
        <f t="shared" ca="1" si="0"/>
        <v>1751</v>
      </c>
      <c r="G11" s="1" t="str">
        <f>Дума_партии[[#This Row],[Местоположение]]</f>
        <v>Наро-Фоминск</v>
      </c>
      <c r="H11">
        <v>1333</v>
      </c>
      <c r="I11" s="1">
        <f>Мособлдума_одномандатный[[#This Row],[Число избирателей, внесенных в список на момент окончания голосования]]</f>
        <v>1333</v>
      </c>
      <c r="J11">
        <v>1300</v>
      </c>
      <c r="L11">
        <v>453</v>
      </c>
      <c r="M11">
        <v>17</v>
      </c>
      <c r="N11" s="3">
        <f t="shared" si="1"/>
        <v>35.258814703675917</v>
      </c>
      <c r="O11" s="3">
        <f t="shared" si="2"/>
        <v>1.2753188297074269</v>
      </c>
      <c r="P11">
        <v>830</v>
      </c>
      <c r="Q11">
        <v>17</v>
      </c>
      <c r="R11">
        <v>453</v>
      </c>
      <c r="S11" s="1">
        <f t="shared" si="3"/>
        <v>470</v>
      </c>
      <c r="T11" s="3">
        <f t="shared" si="4"/>
        <v>3.6170212765957448</v>
      </c>
      <c r="U11">
        <v>104</v>
      </c>
      <c r="V11" s="3">
        <f t="shared" si="5"/>
        <v>22.127659574468087</v>
      </c>
      <c r="W11">
        <v>366</v>
      </c>
      <c r="X11">
        <v>0</v>
      </c>
      <c r="Y11">
        <v>0</v>
      </c>
      <c r="Z11">
        <v>80</v>
      </c>
      <c r="AA11" s="3">
        <f t="shared" si="6"/>
        <v>17.021276595744681</v>
      </c>
      <c r="AB11">
        <v>28</v>
      </c>
      <c r="AC11" s="3">
        <f t="shared" si="6"/>
        <v>5.957446808510638</v>
      </c>
      <c r="AD11">
        <v>33</v>
      </c>
      <c r="AE11" s="3">
        <f t="shared" si="7"/>
        <v>7.0212765957446805</v>
      </c>
      <c r="AF11">
        <v>23</v>
      </c>
      <c r="AG11" s="3">
        <f t="shared" si="7"/>
        <v>4.8936170212765955</v>
      </c>
      <c r="AH11">
        <v>30</v>
      </c>
      <c r="AI11" s="3">
        <f t="shared" si="8"/>
        <v>6.3829787234042552</v>
      </c>
      <c r="AJ11">
        <v>172</v>
      </c>
      <c r="AK11" s="3">
        <f t="shared" si="8"/>
        <v>36.595744680851062</v>
      </c>
      <c r="AL11" t="s">
        <v>208</v>
      </c>
      <c r="AN11"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72.060606060606048</v>
      </c>
      <c r="AO11" s="13">
        <f>2*(Мособлдума_одномандатный[[#This Row],[Рожнов Олег Александрович]]-(AB$124/100)*Мособлдума_одномандатный[[#This Row],[Число действительных бюллетеней]])</f>
        <v>95.119999999999976</v>
      </c>
      <c r="AP11" s="13">
        <f>(Мособлдума_одномандатный[[#This Row],[Вброс]]+Мособлдума_одномандатный[[#This Row],[Перекладывание]])/2</f>
        <v>83.590303030303005</v>
      </c>
      <c r="AQ11" s="13">
        <f>Дума_партии[[#This Row],[Зона ответственности в сен. 2022 г.]]</f>
        <v>0</v>
      </c>
    </row>
    <row r="12" spans="2:43" x14ac:dyDescent="0.4">
      <c r="B12" t="s">
        <v>74</v>
      </c>
      <c r="C12" t="s">
        <v>207</v>
      </c>
      <c r="D12" t="s">
        <v>102</v>
      </c>
      <c r="E12" t="s">
        <v>113</v>
      </c>
      <c r="F12" s="1">
        <f t="shared" ca="1" si="0"/>
        <v>1752</v>
      </c>
      <c r="G12" s="1" t="str">
        <f>Дума_партии[[#This Row],[Местоположение]]</f>
        <v>Наро-Фоминск</v>
      </c>
      <c r="H12">
        <v>1430</v>
      </c>
      <c r="I12" s="1">
        <f>Мособлдума_одномандатный[[#This Row],[Число избирателей, внесенных в список на момент окончания голосования]]</f>
        <v>1430</v>
      </c>
      <c r="J12">
        <v>1400</v>
      </c>
      <c r="L12">
        <v>559</v>
      </c>
      <c r="M12">
        <v>15</v>
      </c>
      <c r="N12" s="3">
        <f t="shared" si="1"/>
        <v>40.13986013986014</v>
      </c>
      <c r="O12" s="3">
        <f t="shared" si="2"/>
        <v>1.048951048951049</v>
      </c>
      <c r="P12">
        <v>826</v>
      </c>
      <c r="Q12">
        <v>15</v>
      </c>
      <c r="R12">
        <v>559</v>
      </c>
      <c r="S12" s="1">
        <f t="shared" si="3"/>
        <v>574</v>
      </c>
      <c r="T12" s="3">
        <f t="shared" si="4"/>
        <v>2.6132404181184667</v>
      </c>
      <c r="U12">
        <v>45</v>
      </c>
      <c r="V12" s="3">
        <f t="shared" si="5"/>
        <v>7.8397212543554007</v>
      </c>
      <c r="W12">
        <v>529</v>
      </c>
      <c r="X12">
        <v>0</v>
      </c>
      <c r="Y12">
        <v>0</v>
      </c>
      <c r="Z12">
        <v>112</v>
      </c>
      <c r="AA12" s="3">
        <f t="shared" si="6"/>
        <v>19.512195121951219</v>
      </c>
      <c r="AB12">
        <v>49</v>
      </c>
      <c r="AC12" s="3">
        <f t="shared" si="6"/>
        <v>8.536585365853659</v>
      </c>
      <c r="AD12">
        <v>47</v>
      </c>
      <c r="AE12" s="3">
        <f t="shared" si="7"/>
        <v>8.1881533101045303</v>
      </c>
      <c r="AF12">
        <v>57</v>
      </c>
      <c r="AG12" s="3">
        <f t="shared" si="7"/>
        <v>9.9303135888501739</v>
      </c>
      <c r="AH12">
        <v>56</v>
      </c>
      <c r="AI12" s="3">
        <f t="shared" si="8"/>
        <v>9.7560975609756095</v>
      </c>
      <c r="AJ12">
        <v>208</v>
      </c>
      <c r="AK12" s="3">
        <f t="shared" si="8"/>
        <v>36.236933797909408</v>
      </c>
      <c r="AL12" t="s">
        <v>208</v>
      </c>
      <c r="AN12"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42.636363636363598</v>
      </c>
      <c r="AO12" s="13">
        <f>2*(Мособлдума_одномандатный[[#This Row],[Рожнов Олег Александрович]]-(AB$124/100)*Мособлдума_одномандатный[[#This Row],[Число действительных бюллетеней]])</f>
        <v>56.279999999999973</v>
      </c>
      <c r="AP12" s="13">
        <f>(Мособлдума_одномандатный[[#This Row],[Вброс]]+Мособлдума_одномандатный[[#This Row],[Перекладывание]])/2</f>
        <v>49.458181818181785</v>
      </c>
      <c r="AQ12" s="13">
        <f>Дума_партии[[#This Row],[Зона ответственности в сен. 2022 г.]]</f>
        <v>0</v>
      </c>
    </row>
    <row r="13" spans="2:43" x14ac:dyDescent="0.4">
      <c r="B13" t="s">
        <v>74</v>
      </c>
      <c r="C13" t="s">
        <v>207</v>
      </c>
      <c r="D13" t="s">
        <v>102</v>
      </c>
      <c r="E13" t="s">
        <v>114</v>
      </c>
      <c r="F13" s="1">
        <f t="shared" ca="1" si="0"/>
        <v>1753</v>
      </c>
      <c r="G13" s="1" t="str">
        <f>Дума_партии[[#This Row],[Местоположение]]</f>
        <v>Наро-Фоминск</v>
      </c>
      <c r="H13">
        <v>1038</v>
      </c>
      <c r="I13" s="1">
        <f>Мособлдума_одномандатный[[#This Row],[Число избирателей, внесенных в список на момент окончания голосования]]</f>
        <v>1038</v>
      </c>
      <c r="J13">
        <v>1000</v>
      </c>
      <c r="L13">
        <v>384</v>
      </c>
      <c r="M13">
        <v>10</v>
      </c>
      <c r="N13" s="3">
        <f t="shared" si="1"/>
        <v>37.957610789980734</v>
      </c>
      <c r="O13" s="3">
        <f t="shared" si="2"/>
        <v>0.96339113680154143</v>
      </c>
      <c r="P13">
        <v>606</v>
      </c>
      <c r="Q13">
        <v>10</v>
      </c>
      <c r="R13">
        <v>384</v>
      </c>
      <c r="S13" s="1">
        <f t="shared" si="3"/>
        <v>394</v>
      </c>
      <c r="T13" s="3">
        <f t="shared" si="4"/>
        <v>2.5380710659898478</v>
      </c>
      <c r="U13">
        <v>29</v>
      </c>
      <c r="V13" s="3">
        <f t="shared" si="5"/>
        <v>7.3604060913705585</v>
      </c>
      <c r="W13">
        <v>365</v>
      </c>
      <c r="X13">
        <v>0</v>
      </c>
      <c r="Y13">
        <v>0</v>
      </c>
      <c r="Z13">
        <v>98</v>
      </c>
      <c r="AA13" s="3">
        <f t="shared" si="6"/>
        <v>24.873096446700508</v>
      </c>
      <c r="AB13">
        <v>41</v>
      </c>
      <c r="AC13" s="3">
        <f t="shared" si="6"/>
        <v>10.406091370558375</v>
      </c>
      <c r="AD13">
        <v>29</v>
      </c>
      <c r="AE13" s="3">
        <f t="shared" si="7"/>
        <v>7.3604060913705585</v>
      </c>
      <c r="AF13">
        <v>31</v>
      </c>
      <c r="AG13" s="3">
        <f t="shared" si="7"/>
        <v>7.8680203045685282</v>
      </c>
      <c r="AH13">
        <v>38</v>
      </c>
      <c r="AI13" s="3">
        <f t="shared" si="8"/>
        <v>9.6446700507614214</v>
      </c>
      <c r="AJ13">
        <v>128</v>
      </c>
      <c r="AK13" s="3">
        <f t="shared" si="8"/>
        <v>32.487309644670049</v>
      </c>
      <c r="AL13" t="s">
        <v>208</v>
      </c>
      <c r="AN13"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5.9090909090908923</v>
      </c>
      <c r="AO13" s="13">
        <f>2*(Мособлдума_одномандатный[[#This Row],[Рожнов Олег Александрович]]-(AB$124/100)*Мособлдума_одномандатный[[#This Row],[Число действительных бюллетеней]])</f>
        <v>7.7999999999999829</v>
      </c>
      <c r="AP13" s="13">
        <f>(Мособлдума_одномандатный[[#This Row],[Вброс]]+Мособлдума_одномандатный[[#This Row],[Перекладывание]])/2</f>
        <v>6.8545454545454376</v>
      </c>
      <c r="AQ13" s="13">
        <f>Дума_партии[[#This Row],[Зона ответственности в сен. 2022 г.]]</f>
        <v>0</v>
      </c>
    </row>
    <row r="14" spans="2:43" x14ac:dyDescent="0.4">
      <c r="B14" t="s">
        <v>74</v>
      </c>
      <c r="C14" t="s">
        <v>207</v>
      </c>
      <c r="D14" t="s">
        <v>102</v>
      </c>
      <c r="E14" t="s">
        <v>115</v>
      </c>
      <c r="F14" s="1">
        <f t="shared" ca="1" si="0"/>
        <v>1754</v>
      </c>
      <c r="G14" s="1" t="str">
        <f>Дума_партии[[#This Row],[Местоположение]]</f>
        <v>Наро-Фоминск</v>
      </c>
      <c r="H14">
        <v>959</v>
      </c>
      <c r="I14" s="1">
        <f>Мособлдума_одномандатный[[#This Row],[Число избирателей, внесенных в список на момент окончания голосования]]</f>
        <v>959</v>
      </c>
      <c r="J14">
        <v>900</v>
      </c>
      <c r="L14">
        <v>323</v>
      </c>
      <c r="M14">
        <v>26</v>
      </c>
      <c r="N14" s="3">
        <f t="shared" si="1"/>
        <v>36.392075078206467</v>
      </c>
      <c r="O14" s="3">
        <f t="shared" si="2"/>
        <v>2.7111574556830029</v>
      </c>
      <c r="P14">
        <v>551</v>
      </c>
      <c r="Q14">
        <v>26</v>
      </c>
      <c r="R14">
        <v>323</v>
      </c>
      <c r="S14" s="1">
        <f t="shared" si="3"/>
        <v>349</v>
      </c>
      <c r="T14" s="3">
        <f t="shared" si="4"/>
        <v>7.4498567335243555</v>
      </c>
      <c r="U14">
        <v>24</v>
      </c>
      <c r="V14" s="3">
        <f t="shared" si="5"/>
        <v>6.8767908309455583</v>
      </c>
      <c r="W14">
        <v>325</v>
      </c>
      <c r="X14">
        <v>0</v>
      </c>
      <c r="Y14">
        <v>0</v>
      </c>
      <c r="Z14">
        <v>87</v>
      </c>
      <c r="AA14" s="3">
        <f t="shared" si="6"/>
        <v>24.928366762177649</v>
      </c>
      <c r="AB14">
        <v>19</v>
      </c>
      <c r="AC14" s="3">
        <f t="shared" si="6"/>
        <v>5.4441260744985671</v>
      </c>
      <c r="AD14">
        <v>31</v>
      </c>
      <c r="AE14" s="3">
        <f t="shared" si="7"/>
        <v>8.8825214899713458</v>
      </c>
      <c r="AF14">
        <v>36</v>
      </c>
      <c r="AG14" s="3">
        <f t="shared" si="7"/>
        <v>10.315186246418339</v>
      </c>
      <c r="AH14">
        <v>21</v>
      </c>
      <c r="AI14" s="3">
        <f t="shared" si="8"/>
        <v>6.0171919770773643</v>
      </c>
      <c r="AJ14">
        <v>131</v>
      </c>
      <c r="AK14" s="3">
        <f t="shared" si="8"/>
        <v>37.535816618911177</v>
      </c>
      <c r="AL14" t="s">
        <v>208</v>
      </c>
      <c r="AN14"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31.060606060606048</v>
      </c>
      <c r="AO14" s="13">
        <f>2*(Мособлдума_одномандатный[[#This Row],[Рожнов Олег Александрович]]-(AB$124/100)*Мособлдума_одномандатный[[#This Row],[Число действительных бюллетеней]])</f>
        <v>40.999999999999972</v>
      </c>
      <c r="AP14" s="13">
        <f>(Мособлдума_одномандатный[[#This Row],[Вброс]]+Мособлдума_одномандатный[[#This Row],[Перекладывание]])/2</f>
        <v>36.03030303030301</v>
      </c>
      <c r="AQ14" s="13">
        <f>Дума_партии[[#This Row],[Зона ответственности в сен. 2022 г.]]</f>
        <v>0</v>
      </c>
    </row>
    <row r="15" spans="2:43" x14ac:dyDescent="0.4">
      <c r="B15" t="s">
        <v>74</v>
      </c>
      <c r="C15" t="s">
        <v>207</v>
      </c>
      <c r="D15" t="s">
        <v>102</v>
      </c>
      <c r="E15" t="s">
        <v>116</v>
      </c>
      <c r="F15" s="1">
        <f t="shared" ca="1" si="0"/>
        <v>1755</v>
      </c>
      <c r="G15" s="1" t="str">
        <f>Дума_партии[[#This Row],[Местоположение]]</f>
        <v>Наро-Фоминск</v>
      </c>
      <c r="H15">
        <v>1477</v>
      </c>
      <c r="I15" s="1">
        <f>Мособлдума_одномандатный[[#This Row],[Число избирателей, внесенных в список на момент окончания голосования]]</f>
        <v>1477</v>
      </c>
      <c r="J15">
        <v>1500</v>
      </c>
      <c r="L15">
        <v>519</v>
      </c>
      <c r="M15">
        <v>9</v>
      </c>
      <c r="N15" s="3">
        <f t="shared" si="1"/>
        <v>35.748138117806363</v>
      </c>
      <c r="O15" s="3">
        <f t="shared" si="2"/>
        <v>0.60934326337169942</v>
      </c>
      <c r="P15">
        <v>972</v>
      </c>
      <c r="Q15">
        <v>9</v>
      </c>
      <c r="R15">
        <v>519</v>
      </c>
      <c r="S15" s="1">
        <f t="shared" si="3"/>
        <v>528</v>
      </c>
      <c r="T15" s="3">
        <f t="shared" si="4"/>
        <v>1.7045454545454546</v>
      </c>
      <c r="U15">
        <v>43</v>
      </c>
      <c r="V15" s="3">
        <f t="shared" si="5"/>
        <v>8.1439393939393945</v>
      </c>
      <c r="W15">
        <v>485</v>
      </c>
      <c r="X15">
        <v>0</v>
      </c>
      <c r="Y15">
        <v>0</v>
      </c>
      <c r="Z15">
        <v>107</v>
      </c>
      <c r="AA15" s="3">
        <f t="shared" si="6"/>
        <v>20.265151515151516</v>
      </c>
      <c r="AB15">
        <v>32</v>
      </c>
      <c r="AC15" s="3">
        <f t="shared" si="6"/>
        <v>6.0606060606060606</v>
      </c>
      <c r="AD15">
        <v>51</v>
      </c>
      <c r="AE15" s="3">
        <f t="shared" si="7"/>
        <v>9.6590909090909083</v>
      </c>
      <c r="AF15">
        <v>39</v>
      </c>
      <c r="AG15" s="3">
        <f t="shared" si="7"/>
        <v>7.3863636363636367</v>
      </c>
      <c r="AH15">
        <v>52</v>
      </c>
      <c r="AI15" s="3">
        <f t="shared" si="8"/>
        <v>9.8484848484848477</v>
      </c>
      <c r="AJ15">
        <v>204</v>
      </c>
      <c r="AK15" s="3">
        <f t="shared" si="8"/>
        <v>38.636363636363633</v>
      </c>
      <c r="AL15" t="s">
        <v>208</v>
      </c>
      <c r="AN15"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59.242424242424221</v>
      </c>
      <c r="AO15" s="13">
        <f>2*(Мособлдума_одномандатный[[#This Row],[Рожнов Олег Александрович]]-(AB$124/100)*Мособлдума_одномандатный[[#This Row],[Число действительных бюллетеней]])</f>
        <v>78.199999999999989</v>
      </c>
      <c r="AP15" s="13">
        <f>(Мособлдума_одномандатный[[#This Row],[Вброс]]+Мособлдума_одномандатный[[#This Row],[Перекладывание]])/2</f>
        <v>68.721212121212105</v>
      </c>
      <c r="AQ15" s="13">
        <f>Дума_партии[[#This Row],[Зона ответственности в сен. 2022 г.]]</f>
        <v>0</v>
      </c>
    </row>
    <row r="16" spans="2:43" x14ac:dyDescent="0.4">
      <c r="B16" t="s">
        <v>74</v>
      </c>
      <c r="C16" t="s">
        <v>207</v>
      </c>
      <c r="D16" t="s">
        <v>102</v>
      </c>
      <c r="E16" t="s">
        <v>117</v>
      </c>
      <c r="F16" s="1">
        <f t="shared" ca="1" si="0"/>
        <v>1756</v>
      </c>
      <c r="G16" s="1" t="str">
        <f>Дума_партии[[#This Row],[Местоположение]]</f>
        <v>Наро-Фоминск</v>
      </c>
      <c r="H16">
        <v>1129</v>
      </c>
      <c r="I16" s="1">
        <f>Мособлдума_одномандатный[[#This Row],[Число избирателей, внесенных в список на момент окончания голосования]]</f>
        <v>1129</v>
      </c>
      <c r="J16">
        <v>1000</v>
      </c>
      <c r="L16">
        <v>383</v>
      </c>
      <c r="M16">
        <v>2</v>
      </c>
      <c r="N16" s="3">
        <f t="shared" si="1"/>
        <v>34.100974313551816</v>
      </c>
      <c r="O16" s="3">
        <f t="shared" si="2"/>
        <v>0.17714791851195749</v>
      </c>
      <c r="P16">
        <v>615</v>
      </c>
      <c r="Q16">
        <v>2</v>
      </c>
      <c r="R16">
        <v>383</v>
      </c>
      <c r="S16" s="1">
        <f t="shared" si="3"/>
        <v>385</v>
      </c>
      <c r="T16" s="3">
        <f t="shared" si="4"/>
        <v>0.51948051948051943</v>
      </c>
      <c r="U16">
        <v>34</v>
      </c>
      <c r="V16" s="3">
        <f t="shared" si="5"/>
        <v>8.8311688311688314</v>
      </c>
      <c r="W16">
        <v>351</v>
      </c>
      <c r="X16">
        <v>0</v>
      </c>
      <c r="Y16">
        <v>0</v>
      </c>
      <c r="Z16">
        <v>78</v>
      </c>
      <c r="AA16" s="3">
        <f t="shared" si="6"/>
        <v>20.259740259740258</v>
      </c>
      <c r="AB16">
        <v>36</v>
      </c>
      <c r="AC16" s="3">
        <f t="shared" si="6"/>
        <v>9.3506493506493502</v>
      </c>
      <c r="AD16">
        <v>29</v>
      </c>
      <c r="AE16" s="3">
        <f t="shared" si="7"/>
        <v>7.5324675324675328</v>
      </c>
      <c r="AF16">
        <v>39</v>
      </c>
      <c r="AG16" s="3">
        <f t="shared" si="7"/>
        <v>10.129870129870129</v>
      </c>
      <c r="AH16">
        <v>33</v>
      </c>
      <c r="AI16" s="3">
        <f t="shared" si="8"/>
        <v>8.5714285714285712</v>
      </c>
      <c r="AJ16">
        <v>136</v>
      </c>
      <c r="AK16" s="3">
        <f t="shared" si="8"/>
        <v>35.324675324675326</v>
      </c>
      <c r="AL16" t="s">
        <v>208</v>
      </c>
      <c r="AN16"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25.242424242424221</v>
      </c>
      <c r="AO16" s="13">
        <f>2*(Мособлдума_одномандатный[[#This Row],[Рожнов Олег Александрович]]-(AB$124/100)*Мособлдума_одномандатный[[#This Row],[Число действительных бюллетеней]])</f>
        <v>33.319999999999993</v>
      </c>
      <c r="AP16" s="13">
        <f>(Мособлдума_одномандатный[[#This Row],[Вброс]]+Мособлдума_одномандатный[[#This Row],[Перекладывание]])/2</f>
        <v>29.281212121212107</v>
      </c>
      <c r="AQ16" s="13">
        <f>Дума_партии[[#This Row],[Зона ответственности в сен. 2022 г.]]</f>
        <v>0</v>
      </c>
    </row>
    <row r="17" spans="2:43" x14ac:dyDescent="0.4">
      <c r="B17" t="s">
        <v>74</v>
      </c>
      <c r="C17" t="s">
        <v>207</v>
      </c>
      <c r="D17" t="s">
        <v>102</v>
      </c>
      <c r="E17" t="s">
        <v>118</v>
      </c>
      <c r="F17" s="1">
        <f t="shared" ca="1" si="0"/>
        <v>1757</v>
      </c>
      <c r="G17" s="1" t="str">
        <f>Дума_партии[[#This Row],[Местоположение]]</f>
        <v>Наро-Фоминск</v>
      </c>
      <c r="H17">
        <v>1431</v>
      </c>
      <c r="I17" s="1">
        <f>Мособлдума_одномандатный[[#This Row],[Число избирателей, внесенных в список на момент окончания голосования]]</f>
        <v>1431</v>
      </c>
      <c r="J17">
        <v>1400</v>
      </c>
      <c r="L17">
        <v>454</v>
      </c>
      <c r="M17">
        <v>8</v>
      </c>
      <c r="N17" s="3">
        <f t="shared" si="1"/>
        <v>32.285115303983225</v>
      </c>
      <c r="O17" s="3">
        <f t="shared" si="2"/>
        <v>0.55904961565338929</v>
      </c>
      <c r="P17">
        <v>938</v>
      </c>
      <c r="Q17">
        <v>8</v>
      </c>
      <c r="R17">
        <v>452</v>
      </c>
      <c r="S17" s="1">
        <f t="shared" si="3"/>
        <v>460</v>
      </c>
      <c r="T17" s="3">
        <f t="shared" si="4"/>
        <v>1.7391304347826086</v>
      </c>
      <c r="U17">
        <v>52</v>
      </c>
      <c r="V17" s="3">
        <f t="shared" si="5"/>
        <v>11.304347826086957</v>
      </c>
      <c r="W17">
        <v>408</v>
      </c>
      <c r="X17">
        <v>0</v>
      </c>
      <c r="Y17">
        <v>0</v>
      </c>
      <c r="Z17">
        <v>93</v>
      </c>
      <c r="AA17" s="3">
        <f t="shared" si="6"/>
        <v>20.217391304347824</v>
      </c>
      <c r="AB17">
        <v>33</v>
      </c>
      <c r="AC17" s="3">
        <f t="shared" si="6"/>
        <v>7.1739130434782608</v>
      </c>
      <c r="AD17">
        <v>38</v>
      </c>
      <c r="AE17" s="3">
        <f t="shared" si="7"/>
        <v>8.2608695652173907</v>
      </c>
      <c r="AF17">
        <v>47</v>
      </c>
      <c r="AG17" s="3">
        <f t="shared" si="7"/>
        <v>10.217391304347826</v>
      </c>
      <c r="AH17">
        <v>56</v>
      </c>
      <c r="AI17" s="3">
        <f t="shared" si="8"/>
        <v>12.173913043478262</v>
      </c>
      <c r="AJ17">
        <v>141</v>
      </c>
      <c r="AK17" s="3">
        <f t="shared" si="8"/>
        <v>30.652173913043477</v>
      </c>
      <c r="AL17" t="s">
        <v>208</v>
      </c>
      <c r="AN17"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3.454545454545439</v>
      </c>
      <c r="AO17" s="13">
        <f>2*(Мособлдума_одномандатный[[#This Row],[Рожнов Олег Александрович]]-(AB$124/100)*Мособлдума_одномандатный[[#This Row],[Число действительных бюллетеней]])</f>
        <v>4.5600000000000023</v>
      </c>
      <c r="AP17" s="13">
        <f>(Мособлдума_одномандатный[[#This Row],[Вброс]]+Мособлдума_одномандатный[[#This Row],[Перекладывание]])/2</f>
        <v>4.0072727272727207</v>
      </c>
      <c r="AQ17" s="13">
        <f>Дума_партии[[#This Row],[Зона ответственности в сен. 2022 г.]]</f>
        <v>0</v>
      </c>
    </row>
    <row r="18" spans="2:43" x14ac:dyDescent="0.4">
      <c r="B18" t="s">
        <v>74</v>
      </c>
      <c r="C18" t="s">
        <v>207</v>
      </c>
      <c r="D18" t="s">
        <v>102</v>
      </c>
      <c r="E18" t="s">
        <v>119</v>
      </c>
      <c r="F18" s="1">
        <f t="shared" ca="1" si="0"/>
        <v>1758</v>
      </c>
      <c r="G18" s="1" t="str">
        <f>Дума_партии[[#This Row],[Местоположение]]</f>
        <v>Наро-Фоминск</v>
      </c>
      <c r="H18">
        <v>1118</v>
      </c>
      <c r="I18" s="1">
        <f>Мособлдума_одномандатный[[#This Row],[Число избирателей, внесенных в список на момент окончания голосования]]</f>
        <v>1118</v>
      </c>
      <c r="J18">
        <v>1100</v>
      </c>
      <c r="L18">
        <v>374</v>
      </c>
      <c r="M18">
        <v>35</v>
      </c>
      <c r="N18" s="3">
        <f t="shared" si="1"/>
        <v>36.583184257602859</v>
      </c>
      <c r="O18" s="3">
        <f t="shared" si="2"/>
        <v>3.1305903398926653</v>
      </c>
      <c r="P18">
        <v>691</v>
      </c>
      <c r="Q18">
        <v>35</v>
      </c>
      <c r="R18">
        <v>374</v>
      </c>
      <c r="S18" s="1">
        <f t="shared" si="3"/>
        <v>409</v>
      </c>
      <c r="T18" s="3">
        <f t="shared" si="4"/>
        <v>8.5574572127139366</v>
      </c>
      <c r="U18">
        <v>35</v>
      </c>
      <c r="V18" s="3">
        <f t="shared" si="5"/>
        <v>8.5574572127139366</v>
      </c>
      <c r="W18">
        <v>374</v>
      </c>
      <c r="X18">
        <v>0</v>
      </c>
      <c r="Y18">
        <v>0</v>
      </c>
      <c r="Z18">
        <v>96</v>
      </c>
      <c r="AA18" s="3">
        <f t="shared" si="6"/>
        <v>23.471882640586799</v>
      </c>
      <c r="AB18">
        <v>34</v>
      </c>
      <c r="AC18" s="3">
        <f t="shared" si="6"/>
        <v>8.3129584352078236</v>
      </c>
      <c r="AD18">
        <v>44</v>
      </c>
      <c r="AE18" s="3">
        <f t="shared" si="7"/>
        <v>10.757946210268949</v>
      </c>
      <c r="AF18">
        <v>26</v>
      </c>
      <c r="AG18" s="3">
        <f t="shared" si="7"/>
        <v>6.3569682151589246</v>
      </c>
      <c r="AH18">
        <v>32</v>
      </c>
      <c r="AI18" s="3">
        <f t="shared" si="8"/>
        <v>7.8239608801955987</v>
      </c>
      <c r="AJ18">
        <v>142</v>
      </c>
      <c r="AK18" s="3">
        <f t="shared" si="8"/>
        <v>34.718826405867972</v>
      </c>
      <c r="AL18" t="s">
        <v>208</v>
      </c>
      <c r="AN18"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22.484848484848456</v>
      </c>
      <c r="AO18" s="13">
        <f>2*(Мособлдума_одномандатный[[#This Row],[Рожнов Олег Александрович]]-(AB$124/100)*Мособлдума_одномандатный[[#This Row],[Число действительных бюллетеней]])</f>
        <v>29.679999999999978</v>
      </c>
      <c r="AP18" s="13">
        <f>(Мособлдума_одномандатный[[#This Row],[Вброс]]+Мособлдума_одномандатный[[#This Row],[Перекладывание]])/2</f>
        <v>26.082424242424217</v>
      </c>
      <c r="AQ18" s="13">
        <f>Дума_партии[[#This Row],[Зона ответственности в сен. 2022 г.]]</f>
        <v>0</v>
      </c>
    </row>
    <row r="19" spans="2:43" x14ac:dyDescent="0.4">
      <c r="B19" t="s">
        <v>74</v>
      </c>
      <c r="C19" t="s">
        <v>207</v>
      </c>
      <c r="D19" t="s">
        <v>102</v>
      </c>
      <c r="E19" t="s">
        <v>120</v>
      </c>
      <c r="F19" s="1">
        <f t="shared" ca="1" si="0"/>
        <v>1759</v>
      </c>
      <c r="G19" s="1" t="str">
        <f>Дума_партии[[#This Row],[Местоположение]]</f>
        <v>Наро-Фоминск</v>
      </c>
      <c r="H19">
        <v>1091</v>
      </c>
      <c r="I19" s="1">
        <f>Мособлдума_одномандатный[[#This Row],[Число избирателей, внесенных в список на момент окончания голосования]]</f>
        <v>1091</v>
      </c>
      <c r="J19">
        <v>800</v>
      </c>
      <c r="L19">
        <v>397</v>
      </c>
      <c r="M19">
        <v>34</v>
      </c>
      <c r="N19" s="3">
        <f t="shared" si="1"/>
        <v>39.505041246562783</v>
      </c>
      <c r="O19" s="3">
        <f t="shared" si="2"/>
        <v>3.1164069660861595</v>
      </c>
      <c r="P19">
        <v>369</v>
      </c>
      <c r="Q19">
        <v>34</v>
      </c>
      <c r="R19">
        <v>397</v>
      </c>
      <c r="S19" s="1">
        <f t="shared" si="3"/>
        <v>431</v>
      </c>
      <c r="T19" s="3">
        <f t="shared" si="4"/>
        <v>7.8886310904872392</v>
      </c>
      <c r="U19">
        <v>25</v>
      </c>
      <c r="V19" s="3">
        <f t="shared" si="5"/>
        <v>5.8004640371229694</v>
      </c>
      <c r="W19">
        <v>406</v>
      </c>
      <c r="X19">
        <v>0</v>
      </c>
      <c r="Y19">
        <v>0</v>
      </c>
      <c r="Z19">
        <v>93</v>
      </c>
      <c r="AA19" s="3">
        <f t="shared" ref="AA19:AC34" si="9">100*Z19/$S19</f>
        <v>21.577726218097446</v>
      </c>
      <c r="AB19">
        <v>37</v>
      </c>
      <c r="AC19" s="3">
        <f t="shared" si="9"/>
        <v>8.5846867749419946</v>
      </c>
      <c r="AD19">
        <v>39</v>
      </c>
      <c r="AE19" s="3">
        <f t="shared" ref="AE19:AG34" si="10">100*AD19/$S19</f>
        <v>9.0487238979118327</v>
      </c>
      <c r="AF19">
        <v>39</v>
      </c>
      <c r="AG19" s="3">
        <f t="shared" si="10"/>
        <v>9.0487238979118327</v>
      </c>
      <c r="AH19">
        <v>48</v>
      </c>
      <c r="AI19" s="3">
        <f t="shared" ref="AI19:AK34" si="11">100*AH19/$S19</f>
        <v>11.136890951276103</v>
      </c>
      <c r="AJ19">
        <v>150</v>
      </c>
      <c r="AK19" s="3">
        <f t="shared" si="11"/>
        <v>34.80278422273782</v>
      </c>
      <c r="AL19" t="s">
        <v>208</v>
      </c>
      <c r="AN19"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18.121212121212096</v>
      </c>
      <c r="AO19" s="13">
        <f>2*(Мособлдума_одномандатный[[#This Row],[Рожнов Олег Александрович]]-(AB$124/100)*Мособлдума_одномандатный[[#This Row],[Число действительных бюллетеней]])</f>
        <v>23.919999999999959</v>
      </c>
      <c r="AP19" s="13">
        <f>(Мособлдума_одномандатный[[#This Row],[Вброс]]+Мособлдума_одномандатный[[#This Row],[Перекладывание]])/2</f>
        <v>21.020606060606028</v>
      </c>
      <c r="AQ19" s="13">
        <f>Дума_партии[[#This Row],[Зона ответственности в сен. 2022 г.]]</f>
        <v>0</v>
      </c>
    </row>
    <row r="20" spans="2:43" x14ac:dyDescent="0.4">
      <c r="B20" t="s">
        <v>74</v>
      </c>
      <c r="C20" t="s">
        <v>207</v>
      </c>
      <c r="D20" t="s">
        <v>102</v>
      </c>
      <c r="E20" t="s">
        <v>121</v>
      </c>
      <c r="F20" s="1">
        <f t="shared" ca="1" si="0"/>
        <v>1760</v>
      </c>
      <c r="G20" s="1" t="str">
        <f>Дума_партии[[#This Row],[Местоположение]]</f>
        <v>Ивановка</v>
      </c>
      <c r="H20">
        <v>353</v>
      </c>
      <c r="I20" s="1">
        <f>Мособлдума_одномандатный[[#This Row],[Число избирателей, внесенных в список на момент окончания голосования]]</f>
        <v>353</v>
      </c>
      <c r="J20">
        <v>300</v>
      </c>
      <c r="L20">
        <v>117</v>
      </c>
      <c r="M20">
        <v>51</v>
      </c>
      <c r="N20" s="3">
        <f t="shared" si="1"/>
        <v>47.592067988668553</v>
      </c>
      <c r="O20" s="3">
        <f t="shared" si="2"/>
        <v>14.447592067988669</v>
      </c>
      <c r="P20">
        <v>132</v>
      </c>
      <c r="Q20">
        <v>51</v>
      </c>
      <c r="R20">
        <v>117</v>
      </c>
      <c r="S20" s="1">
        <f t="shared" si="3"/>
        <v>168</v>
      </c>
      <c r="T20" s="3">
        <f t="shared" si="4"/>
        <v>30.357142857142858</v>
      </c>
      <c r="U20">
        <v>5</v>
      </c>
      <c r="V20" s="3">
        <f t="shared" si="5"/>
        <v>2.9761904761904763</v>
      </c>
      <c r="W20">
        <v>163</v>
      </c>
      <c r="X20">
        <v>0</v>
      </c>
      <c r="Y20">
        <v>0</v>
      </c>
      <c r="Z20">
        <v>44</v>
      </c>
      <c r="AA20" s="3">
        <f t="shared" si="9"/>
        <v>26.19047619047619</v>
      </c>
      <c r="AB20">
        <v>8</v>
      </c>
      <c r="AC20" s="3">
        <f t="shared" si="9"/>
        <v>4.7619047619047619</v>
      </c>
      <c r="AD20">
        <v>9</v>
      </c>
      <c r="AE20" s="3">
        <f t="shared" si="10"/>
        <v>5.3571428571428568</v>
      </c>
      <c r="AF20">
        <v>8</v>
      </c>
      <c r="AG20" s="3">
        <f t="shared" si="10"/>
        <v>4.7619047619047619</v>
      </c>
      <c r="AH20">
        <v>15</v>
      </c>
      <c r="AI20" s="3">
        <f t="shared" si="11"/>
        <v>8.9285714285714288</v>
      </c>
      <c r="AJ20">
        <v>79</v>
      </c>
      <c r="AK20" s="3">
        <f t="shared" si="11"/>
        <v>47.023809523809526</v>
      </c>
      <c r="AL20" t="s">
        <v>208</v>
      </c>
      <c r="AN20"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35.72727272727272</v>
      </c>
      <c r="AO20" s="13">
        <f>2*(Мособлдума_одномандатный[[#This Row],[Рожнов Олег Александрович]]-(AB$124/100)*Мособлдума_одномандатный[[#This Row],[Число действительных бюллетеней]])</f>
        <v>47.16</v>
      </c>
      <c r="AP20" s="13">
        <f>(Мособлдума_одномандатный[[#This Row],[Вброс]]+Мособлдума_одномандатный[[#This Row],[Перекладывание]])/2</f>
        <v>41.443636363636358</v>
      </c>
      <c r="AQ20" s="13">
        <f>Дума_партии[[#This Row],[Зона ответственности в сен. 2022 г.]]</f>
        <v>0</v>
      </c>
    </row>
    <row r="21" spans="2:43" x14ac:dyDescent="0.4">
      <c r="B21" t="s">
        <v>74</v>
      </c>
      <c r="C21" t="s">
        <v>207</v>
      </c>
      <c r="D21" t="s">
        <v>102</v>
      </c>
      <c r="E21" t="s">
        <v>122</v>
      </c>
      <c r="F21" s="1">
        <f t="shared" ca="1" si="0"/>
        <v>1761</v>
      </c>
      <c r="G21" s="1" t="str">
        <f>Дума_партии[[#This Row],[Местоположение]]</f>
        <v>Наро-Фоминск</v>
      </c>
      <c r="H21">
        <v>1499</v>
      </c>
      <c r="I21" s="1">
        <f>Мособлдума_одномандатный[[#This Row],[Число избирателей, внесенных в список на момент окончания голосования]]</f>
        <v>1499</v>
      </c>
      <c r="J21">
        <v>1500</v>
      </c>
      <c r="L21">
        <v>630</v>
      </c>
      <c r="M21">
        <v>13</v>
      </c>
      <c r="N21" s="3">
        <f t="shared" si="1"/>
        <v>42.895263509006007</v>
      </c>
      <c r="O21" s="3">
        <f t="shared" si="2"/>
        <v>0.86724482988659102</v>
      </c>
      <c r="P21">
        <v>857</v>
      </c>
      <c r="Q21">
        <v>13</v>
      </c>
      <c r="R21">
        <v>630</v>
      </c>
      <c r="S21" s="1">
        <f t="shared" si="3"/>
        <v>643</v>
      </c>
      <c r="T21" s="3">
        <f t="shared" si="4"/>
        <v>2.0217729393468118</v>
      </c>
      <c r="U21">
        <v>46</v>
      </c>
      <c r="V21" s="3">
        <f t="shared" si="5"/>
        <v>7.1539657853810263</v>
      </c>
      <c r="W21">
        <v>597</v>
      </c>
      <c r="X21">
        <v>0</v>
      </c>
      <c r="Y21">
        <v>0</v>
      </c>
      <c r="Z21">
        <v>148</v>
      </c>
      <c r="AA21" s="3">
        <f t="shared" si="9"/>
        <v>23.017107309486782</v>
      </c>
      <c r="AB21">
        <v>55</v>
      </c>
      <c r="AC21" s="3">
        <f t="shared" si="9"/>
        <v>8.5536547433903571</v>
      </c>
      <c r="AD21">
        <v>60</v>
      </c>
      <c r="AE21" s="3">
        <f t="shared" si="10"/>
        <v>9.3312597200622083</v>
      </c>
      <c r="AF21">
        <v>66</v>
      </c>
      <c r="AG21" s="3">
        <f t="shared" si="10"/>
        <v>10.26438569206843</v>
      </c>
      <c r="AH21">
        <v>51</v>
      </c>
      <c r="AI21" s="3">
        <f t="shared" si="11"/>
        <v>7.9315707620528775</v>
      </c>
      <c r="AJ21">
        <v>217</v>
      </c>
      <c r="AK21" s="3">
        <f t="shared" si="11"/>
        <v>33.748055987558324</v>
      </c>
      <c r="AL21" t="s">
        <v>208</v>
      </c>
      <c r="AN21"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21.242424242424192</v>
      </c>
      <c r="AO21" s="13">
        <f>2*(Мособлдума_одномандатный[[#This Row],[Рожнов Олег Александрович]]-(AB$124/100)*Мособлдума_одномандатный[[#This Row],[Число действительных бюллетеней]])</f>
        <v>28.039999999999964</v>
      </c>
      <c r="AP21" s="13">
        <f>(Мособлдума_одномандатный[[#This Row],[Вброс]]+Мособлдума_одномандатный[[#This Row],[Перекладывание]])/2</f>
        <v>24.641212121212078</v>
      </c>
      <c r="AQ21" s="13">
        <f>Дума_партии[[#This Row],[Зона ответственности в сен. 2022 г.]]</f>
        <v>0</v>
      </c>
    </row>
    <row r="22" spans="2:43" x14ac:dyDescent="0.4">
      <c r="B22" t="s">
        <v>74</v>
      </c>
      <c r="C22" t="s">
        <v>207</v>
      </c>
      <c r="D22" t="s">
        <v>102</v>
      </c>
      <c r="E22" t="s">
        <v>123</v>
      </c>
      <c r="F22" s="1">
        <f t="shared" ca="1" si="0"/>
        <v>1762</v>
      </c>
      <c r="G22" s="1" t="str">
        <f>Дума_партии[[#This Row],[Местоположение]]</f>
        <v>Наро-Фоминск</v>
      </c>
      <c r="H22">
        <v>1589</v>
      </c>
      <c r="I22" s="1">
        <f>Мособлдума_одномандатный[[#This Row],[Число избирателей, внесенных в список на момент окончания голосования]]</f>
        <v>1589</v>
      </c>
      <c r="J22">
        <v>1500</v>
      </c>
      <c r="L22">
        <v>637</v>
      </c>
      <c r="M22">
        <v>3</v>
      </c>
      <c r="N22" s="3">
        <f t="shared" si="1"/>
        <v>40.27690371302706</v>
      </c>
      <c r="O22" s="3">
        <f t="shared" si="2"/>
        <v>0.18879798615481436</v>
      </c>
      <c r="P22">
        <v>860</v>
      </c>
      <c r="Q22">
        <v>3</v>
      </c>
      <c r="R22">
        <v>637</v>
      </c>
      <c r="S22" s="1">
        <f t="shared" si="3"/>
        <v>640</v>
      </c>
      <c r="T22" s="3">
        <f t="shared" si="4"/>
        <v>0.46875</v>
      </c>
      <c r="U22">
        <v>45</v>
      </c>
      <c r="V22" s="3">
        <f t="shared" si="5"/>
        <v>7.03125</v>
      </c>
      <c r="W22">
        <v>595</v>
      </c>
      <c r="X22">
        <v>0</v>
      </c>
      <c r="Y22">
        <v>0</v>
      </c>
      <c r="Z22">
        <v>126</v>
      </c>
      <c r="AA22" s="3">
        <f t="shared" si="9"/>
        <v>19.6875</v>
      </c>
      <c r="AB22">
        <v>59</v>
      </c>
      <c r="AC22" s="3">
        <f t="shared" si="9"/>
        <v>9.21875</v>
      </c>
      <c r="AD22">
        <v>53</v>
      </c>
      <c r="AE22" s="3">
        <f t="shared" si="10"/>
        <v>8.28125</v>
      </c>
      <c r="AF22">
        <v>77</v>
      </c>
      <c r="AG22" s="3">
        <f t="shared" si="10"/>
        <v>12.03125</v>
      </c>
      <c r="AH22">
        <v>52</v>
      </c>
      <c r="AI22" s="3">
        <f t="shared" si="11"/>
        <v>8.125</v>
      </c>
      <c r="AJ22">
        <v>228</v>
      </c>
      <c r="AK22" s="3">
        <f t="shared" si="11"/>
        <v>35.625</v>
      </c>
      <c r="AL22" t="s">
        <v>208</v>
      </c>
      <c r="AN22"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38.939393939393909</v>
      </c>
      <c r="AO22" s="13">
        <f>2*(Мособлдума_одномандатный[[#This Row],[Рожнов Олег Александрович]]-(AB$124/100)*Мособлдума_одномандатный[[#This Row],[Число действительных бюллетеней]])</f>
        <v>51.399999999999977</v>
      </c>
      <c r="AP22" s="13">
        <f>(Мособлдума_одномандатный[[#This Row],[Вброс]]+Мособлдума_одномандатный[[#This Row],[Перекладывание]])/2</f>
        <v>45.169696969696943</v>
      </c>
      <c r="AQ22" s="13">
        <f>Дума_партии[[#This Row],[Зона ответственности в сен. 2022 г.]]</f>
        <v>0</v>
      </c>
    </row>
    <row r="23" spans="2:43" x14ac:dyDescent="0.4">
      <c r="B23" t="s">
        <v>74</v>
      </c>
      <c r="C23" t="s">
        <v>207</v>
      </c>
      <c r="D23" t="s">
        <v>102</v>
      </c>
      <c r="E23" t="s">
        <v>124</v>
      </c>
      <c r="F23" s="1">
        <f t="shared" ca="1" si="0"/>
        <v>1763</v>
      </c>
      <c r="G23" s="1" t="str">
        <f>Дума_партии[[#This Row],[Местоположение]]</f>
        <v>Наро-Фоминск</v>
      </c>
      <c r="H23">
        <v>1373</v>
      </c>
      <c r="I23" s="1">
        <f>Мособлдума_одномандатный[[#This Row],[Число избирателей, внесенных в список на момент окончания голосования]]</f>
        <v>1373</v>
      </c>
      <c r="J23">
        <v>1300</v>
      </c>
      <c r="L23">
        <v>478</v>
      </c>
      <c r="M23">
        <v>34</v>
      </c>
      <c r="N23" s="3">
        <f t="shared" si="1"/>
        <v>37.29060451565914</v>
      </c>
      <c r="O23" s="3">
        <f t="shared" si="2"/>
        <v>2.47632920611799</v>
      </c>
      <c r="P23">
        <v>788</v>
      </c>
      <c r="Q23">
        <v>34</v>
      </c>
      <c r="R23">
        <v>478</v>
      </c>
      <c r="S23" s="1">
        <f t="shared" si="3"/>
        <v>512</v>
      </c>
      <c r="T23" s="3">
        <f t="shared" si="4"/>
        <v>6.640625</v>
      </c>
      <c r="U23">
        <v>26</v>
      </c>
      <c r="V23" s="3">
        <f t="shared" si="5"/>
        <v>5.078125</v>
      </c>
      <c r="W23">
        <v>486</v>
      </c>
      <c r="X23">
        <v>0</v>
      </c>
      <c r="Y23">
        <v>0</v>
      </c>
      <c r="Z23">
        <v>102</v>
      </c>
      <c r="AA23" s="3">
        <f t="shared" si="9"/>
        <v>19.921875</v>
      </c>
      <c r="AB23">
        <v>41</v>
      </c>
      <c r="AC23" s="3">
        <f t="shared" si="9"/>
        <v>8.0078125</v>
      </c>
      <c r="AD23">
        <v>21</v>
      </c>
      <c r="AE23" s="3">
        <f t="shared" si="10"/>
        <v>4.1015625</v>
      </c>
      <c r="AF23">
        <v>41</v>
      </c>
      <c r="AG23" s="3">
        <f t="shared" si="10"/>
        <v>8.0078125</v>
      </c>
      <c r="AH23">
        <v>28</v>
      </c>
      <c r="AI23" s="3">
        <f t="shared" si="11"/>
        <v>5.46875</v>
      </c>
      <c r="AJ23">
        <v>253</v>
      </c>
      <c r="AK23" s="3">
        <f t="shared" si="11"/>
        <v>49.4140625</v>
      </c>
      <c r="AL23" t="s">
        <v>208</v>
      </c>
      <c r="AN23"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132.96969696969694</v>
      </c>
      <c r="AO23" s="13">
        <f>2*(Мособлдума_одномандатный[[#This Row],[Рожнов Олег Александрович]]-(AB$124/100)*Мособлдума_одномандатный[[#This Row],[Число действительных бюллетеней]])</f>
        <v>175.51999999999998</v>
      </c>
      <c r="AP23" s="13">
        <f>(Мособлдума_одномандатный[[#This Row],[Вброс]]+Мособлдума_одномандатный[[#This Row],[Перекладывание]])/2</f>
        <v>154.24484848484846</v>
      </c>
      <c r="AQ23" s="13">
        <f>Дума_партии[[#This Row],[Зона ответственности в сен. 2022 г.]]</f>
        <v>0</v>
      </c>
    </row>
    <row r="24" spans="2:43" x14ac:dyDescent="0.4">
      <c r="B24" t="s">
        <v>74</v>
      </c>
      <c r="C24" t="s">
        <v>207</v>
      </c>
      <c r="D24" t="s">
        <v>102</v>
      </c>
      <c r="E24" t="s">
        <v>125</v>
      </c>
      <c r="F24" s="1">
        <f t="shared" ca="1" si="0"/>
        <v>1764</v>
      </c>
      <c r="G24" s="1" t="str">
        <f>Дума_партии[[#This Row],[Местоположение]]</f>
        <v>Наро-Фоминск</v>
      </c>
      <c r="H24">
        <v>817</v>
      </c>
      <c r="I24" s="1">
        <f>Мособлдума_одномандатный[[#This Row],[Число избирателей, внесенных в список на момент окончания голосования]]</f>
        <v>817</v>
      </c>
      <c r="J24">
        <v>2000</v>
      </c>
      <c r="L24">
        <v>802</v>
      </c>
      <c r="M24">
        <v>15</v>
      </c>
      <c r="N24" s="3">
        <f t="shared" si="1"/>
        <v>100</v>
      </c>
      <c r="O24" s="3">
        <f t="shared" si="2"/>
        <v>1.8359853121175032</v>
      </c>
      <c r="P24">
        <v>1183</v>
      </c>
      <c r="Q24">
        <v>15</v>
      </c>
      <c r="R24">
        <v>802</v>
      </c>
      <c r="S24" s="1">
        <f t="shared" si="3"/>
        <v>817</v>
      </c>
      <c r="T24" s="3">
        <f t="shared" si="4"/>
        <v>1.8359853121175032</v>
      </c>
      <c r="U24">
        <v>0</v>
      </c>
      <c r="V24" s="3">
        <f t="shared" si="5"/>
        <v>0</v>
      </c>
      <c r="W24">
        <v>817</v>
      </c>
      <c r="X24">
        <v>0</v>
      </c>
      <c r="Y24">
        <v>0</v>
      </c>
      <c r="Z24">
        <v>52</v>
      </c>
      <c r="AA24" s="3">
        <f t="shared" si="9"/>
        <v>6.3647490820073438</v>
      </c>
      <c r="AB24">
        <v>0</v>
      </c>
      <c r="AC24" s="3">
        <f t="shared" si="9"/>
        <v>0</v>
      </c>
      <c r="AD24">
        <v>0</v>
      </c>
      <c r="AE24" s="3">
        <f t="shared" si="10"/>
        <v>0</v>
      </c>
      <c r="AF24">
        <v>37</v>
      </c>
      <c r="AG24" s="3">
        <f t="shared" si="10"/>
        <v>4.5287637698898413</v>
      </c>
      <c r="AH24">
        <v>50</v>
      </c>
      <c r="AI24" s="3">
        <f t="shared" si="11"/>
        <v>6.119951040391677</v>
      </c>
      <c r="AJ24">
        <v>678</v>
      </c>
      <c r="AK24" s="3">
        <f t="shared" si="11"/>
        <v>82.986536107711132</v>
      </c>
      <c r="AL24" t="s">
        <v>208</v>
      </c>
      <c r="AN24"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606.39393939393938</v>
      </c>
      <c r="AO24" s="13">
        <f>2*(Мособлдума_одномандатный[[#This Row],[Рожнов Олег Александрович]]-(AB$124/100)*Мособлдума_одномандатный[[#This Row],[Число действительных бюллетеней]])</f>
        <v>800.43999999999994</v>
      </c>
      <c r="AP24" s="13">
        <f>(Мособлдума_одномандатный[[#This Row],[Вброс]]+Мособлдума_одномандатный[[#This Row],[Перекладывание]])/2</f>
        <v>703.41696969696966</v>
      </c>
      <c r="AQ24" s="13">
        <f>Дума_партии[[#This Row],[Зона ответственности в сен. 2022 г.]]</f>
        <v>0</v>
      </c>
    </row>
    <row r="25" spans="2:43" x14ac:dyDescent="0.4">
      <c r="B25" t="s">
        <v>74</v>
      </c>
      <c r="C25" t="s">
        <v>207</v>
      </c>
      <c r="D25" t="s">
        <v>102</v>
      </c>
      <c r="E25" t="s">
        <v>126</v>
      </c>
      <c r="F25" s="1">
        <f t="shared" ca="1" si="0"/>
        <v>1765</v>
      </c>
      <c r="G25" s="1" t="str">
        <f>Дума_партии[[#This Row],[Местоположение]]</f>
        <v>Бекасово</v>
      </c>
      <c r="H25">
        <v>860</v>
      </c>
      <c r="I25" s="1">
        <f>Мособлдума_одномандатный[[#This Row],[Число избирателей, внесенных в список на момент окончания голосования]]</f>
        <v>860</v>
      </c>
      <c r="J25">
        <v>800</v>
      </c>
      <c r="L25">
        <v>275</v>
      </c>
      <c r="M25">
        <v>8</v>
      </c>
      <c r="N25" s="3">
        <f t="shared" si="1"/>
        <v>32.906976744186046</v>
      </c>
      <c r="O25" s="3">
        <f t="shared" si="2"/>
        <v>0.93023255813953487</v>
      </c>
      <c r="P25">
        <v>517</v>
      </c>
      <c r="Q25">
        <v>8</v>
      </c>
      <c r="R25">
        <v>275</v>
      </c>
      <c r="S25" s="1">
        <f t="shared" si="3"/>
        <v>283</v>
      </c>
      <c r="T25" s="3">
        <f t="shared" si="4"/>
        <v>2.8268551236749118</v>
      </c>
      <c r="U25">
        <v>80</v>
      </c>
      <c r="V25" s="3">
        <f t="shared" si="5"/>
        <v>28.268551236749115</v>
      </c>
      <c r="W25">
        <v>203</v>
      </c>
      <c r="X25">
        <v>0</v>
      </c>
      <c r="Y25">
        <v>0</v>
      </c>
      <c r="Z25">
        <v>3</v>
      </c>
      <c r="AA25" s="3">
        <f t="shared" si="9"/>
        <v>1.0600706713780919</v>
      </c>
      <c r="AB25">
        <v>7</v>
      </c>
      <c r="AC25" s="3">
        <f t="shared" si="9"/>
        <v>2.4734982332155475</v>
      </c>
      <c r="AD25">
        <v>14</v>
      </c>
      <c r="AE25" s="3">
        <f t="shared" si="10"/>
        <v>4.946996466431095</v>
      </c>
      <c r="AF25">
        <v>20</v>
      </c>
      <c r="AG25" s="3">
        <f t="shared" si="10"/>
        <v>7.0671378091872787</v>
      </c>
      <c r="AH25">
        <v>39</v>
      </c>
      <c r="AI25" s="3">
        <f t="shared" si="11"/>
        <v>13.780918727915195</v>
      </c>
      <c r="AJ25">
        <v>120</v>
      </c>
      <c r="AK25" s="3">
        <f t="shared" si="11"/>
        <v>42.402826855123678</v>
      </c>
      <c r="AL25" t="s">
        <v>208</v>
      </c>
      <c r="AN25"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77.242424242424235</v>
      </c>
      <c r="AO25" s="13">
        <f>2*(Мособлдума_одномандатный[[#This Row],[Рожнов Олег Александрович]]-(AB$124/100)*Мособлдума_одномандатный[[#This Row],[Число действительных бюллетеней]])</f>
        <v>101.95999999999998</v>
      </c>
      <c r="AP25" s="13">
        <f>(Мособлдума_одномандатный[[#This Row],[Вброс]]+Мособлдума_одномандатный[[#This Row],[Перекладывание]])/2</f>
        <v>89.601212121212114</v>
      </c>
      <c r="AQ25" s="13">
        <f>Дума_партии[[#This Row],[Зона ответственности в сен. 2022 г.]]</f>
        <v>0</v>
      </c>
    </row>
    <row r="26" spans="2:43" x14ac:dyDescent="0.4">
      <c r="B26" t="s">
        <v>74</v>
      </c>
      <c r="C26" t="s">
        <v>207</v>
      </c>
      <c r="D26" t="s">
        <v>102</v>
      </c>
      <c r="E26" t="s">
        <v>127</v>
      </c>
      <c r="F26" s="1">
        <f t="shared" ca="1" si="0"/>
        <v>1766</v>
      </c>
      <c r="G26" s="1" t="str">
        <f>Дума_партии[[#This Row],[Местоположение]]</f>
        <v>Наро-Фоминск</v>
      </c>
      <c r="H26">
        <v>1104</v>
      </c>
      <c r="I26" s="1">
        <f>Мособлдума_одномандатный[[#This Row],[Число избирателей, внесенных в список на момент окончания голосования]]</f>
        <v>1104</v>
      </c>
      <c r="J26">
        <v>1100</v>
      </c>
      <c r="L26">
        <v>368</v>
      </c>
      <c r="M26">
        <v>14</v>
      </c>
      <c r="N26" s="3">
        <f t="shared" si="1"/>
        <v>34.60144927536232</v>
      </c>
      <c r="O26" s="3">
        <f t="shared" si="2"/>
        <v>1.2681159420289856</v>
      </c>
      <c r="P26">
        <v>718</v>
      </c>
      <c r="Q26">
        <v>14</v>
      </c>
      <c r="R26">
        <v>368</v>
      </c>
      <c r="S26" s="1">
        <f t="shared" si="3"/>
        <v>382</v>
      </c>
      <c r="T26" s="3">
        <f t="shared" si="4"/>
        <v>3.6649214659685865</v>
      </c>
      <c r="U26">
        <v>31</v>
      </c>
      <c r="V26" s="3">
        <f t="shared" si="5"/>
        <v>8.1151832460732987</v>
      </c>
      <c r="W26">
        <v>351</v>
      </c>
      <c r="X26">
        <v>0</v>
      </c>
      <c r="Y26">
        <v>0</v>
      </c>
      <c r="Z26">
        <v>90</v>
      </c>
      <c r="AA26" s="3">
        <f t="shared" si="9"/>
        <v>23.560209424083769</v>
      </c>
      <c r="AB26">
        <v>39</v>
      </c>
      <c r="AC26" s="3">
        <f t="shared" si="9"/>
        <v>10.209424083769633</v>
      </c>
      <c r="AD26">
        <v>41</v>
      </c>
      <c r="AE26" s="3">
        <f t="shared" si="10"/>
        <v>10.732984293193716</v>
      </c>
      <c r="AF26">
        <v>20</v>
      </c>
      <c r="AG26" s="3">
        <f t="shared" si="10"/>
        <v>5.2356020942408374</v>
      </c>
      <c r="AH26">
        <v>31</v>
      </c>
      <c r="AI26" s="3">
        <f t="shared" si="11"/>
        <v>8.1151832460732987</v>
      </c>
      <c r="AJ26">
        <v>130</v>
      </c>
      <c r="AK26" s="3">
        <f t="shared" si="11"/>
        <v>34.031413612565444</v>
      </c>
      <c r="AL26" t="s">
        <v>208</v>
      </c>
      <c r="AN26"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16.151515151515127</v>
      </c>
      <c r="AO26" s="13">
        <f>2*(Мособлдума_одномандатный[[#This Row],[Рожнов Олег Александрович]]-(AB$124/100)*Мособлдума_одномандатный[[#This Row],[Число действительных бюллетеней]])</f>
        <v>21.319999999999993</v>
      </c>
      <c r="AP26" s="13">
        <f>(Мособлдума_одномандатный[[#This Row],[Вброс]]+Мособлдума_одномандатный[[#This Row],[Перекладывание]])/2</f>
        <v>18.73575757575756</v>
      </c>
      <c r="AQ26" s="13">
        <f>Дума_партии[[#This Row],[Зона ответственности в сен. 2022 г.]]</f>
        <v>0</v>
      </c>
    </row>
    <row r="27" spans="2:43" x14ac:dyDescent="0.4">
      <c r="B27" t="s">
        <v>74</v>
      </c>
      <c r="C27" t="s">
        <v>207</v>
      </c>
      <c r="D27" t="s">
        <v>102</v>
      </c>
      <c r="E27" t="s">
        <v>128</v>
      </c>
      <c r="F27" s="1">
        <f t="shared" ca="1" si="0"/>
        <v>1767</v>
      </c>
      <c r="G27" s="1" t="str">
        <f>Дума_партии[[#This Row],[Местоположение]]</f>
        <v>Наро-Фоминск</v>
      </c>
      <c r="H27">
        <v>2848</v>
      </c>
      <c r="I27" s="1">
        <f>Мособлдума_одномандатный[[#This Row],[Число избирателей, внесенных в список на момент окончания голосования]]</f>
        <v>2848</v>
      </c>
      <c r="J27">
        <v>2900</v>
      </c>
      <c r="L27">
        <v>1328</v>
      </c>
      <c r="M27">
        <v>0</v>
      </c>
      <c r="N27" s="3">
        <f t="shared" si="1"/>
        <v>46.629213483146067</v>
      </c>
      <c r="O27" s="3">
        <f t="shared" si="2"/>
        <v>0</v>
      </c>
      <c r="P27">
        <v>1572</v>
      </c>
      <c r="Q27">
        <v>0</v>
      </c>
      <c r="R27">
        <v>1328</v>
      </c>
      <c r="S27" s="1">
        <f t="shared" si="3"/>
        <v>1328</v>
      </c>
      <c r="T27" s="3">
        <f t="shared" si="4"/>
        <v>0</v>
      </c>
      <c r="U27">
        <v>89</v>
      </c>
      <c r="V27" s="3">
        <f t="shared" si="5"/>
        <v>6.7018072289156629</v>
      </c>
      <c r="W27">
        <v>1239</v>
      </c>
      <c r="X27">
        <v>0</v>
      </c>
      <c r="Y27">
        <v>0</v>
      </c>
      <c r="Z27">
        <v>285</v>
      </c>
      <c r="AA27" s="3">
        <f t="shared" si="9"/>
        <v>21.460843373493976</v>
      </c>
      <c r="AB27">
        <v>115</v>
      </c>
      <c r="AC27" s="3">
        <f t="shared" si="9"/>
        <v>8.6596385542168672</v>
      </c>
      <c r="AD27">
        <v>120</v>
      </c>
      <c r="AE27" s="3">
        <f t="shared" si="10"/>
        <v>9.0361445783132535</v>
      </c>
      <c r="AF27">
        <v>137</v>
      </c>
      <c r="AG27" s="3">
        <f t="shared" si="10"/>
        <v>10.316265060240964</v>
      </c>
      <c r="AH27">
        <v>133</v>
      </c>
      <c r="AI27" s="3">
        <f t="shared" si="11"/>
        <v>10.015060240963855</v>
      </c>
      <c r="AJ27">
        <v>449</v>
      </c>
      <c r="AK27" s="3">
        <f t="shared" si="11"/>
        <v>33.810240963855421</v>
      </c>
      <c r="AL27" t="s">
        <v>208</v>
      </c>
      <c r="AN27"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42.030303030302946</v>
      </c>
      <c r="AO27" s="13">
        <f>2*(Мособлдума_одномандатный[[#This Row],[Рожнов Олег Александрович]]-(AB$124/100)*Мособлдума_одномандатный[[#This Row],[Число действительных бюллетеней]])</f>
        <v>55.479999999999905</v>
      </c>
      <c r="AP27" s="13">
        <f>(Мособлдума_одномандатный[[#This Row],[Вброс]]+Мособлдума_одномандатный[[#This Row],[Перекладывание]])/2</f>
        <v>48.755151515151425</v>
      </c>
      <c r="AQ27" s="13">
        <f>Дума_партии[[#This Row],[Зона ответственности в сен. 2022 г.]]</f>
        <v>0</v>
      </c>
    </row>
    <row r="28" spans="2:43" x14ac:dyDescent="0.4">
      <c r="B28" t="s">
        <v>74</v>
      </c>
      <c r="C28" t="s">
        <v>207</v>
      </c>
      <c r="D28" t="s">
        <v>102</v>
      </c>
      <c r="E28" t="s">
        <v>129</v>
      </c>
      <c r="F28" s="1">
        <f t="shared" ca="1" si="0"/>
        <v>1768</v>
      </c>
      <c r="G28" s="1" t="str">
        <f>Дума_партии[[#This Row],[Местоположение]]</f>
        <v>Наро-Фоминск</v>
      </c>
      <c r="H28">
        <v>2272</v>
      </c>
      <c r="I28" s="1">
        <f>Мособлдума_одномандатный[[#This Row],[Число избирателей, внесенных в список на момент окончания голосования]]</f>
        <v>2272</v>
      </c>
      <c r="J28">
        <v>3000</v>
      </c>
      <c r="L28">
        <v>636</v>
      </c>
      <c r="M28">
        <v>799</v>
      </c>
      <c r="N28" s="3">
        <f t="shared" si="1"/>
        <v>63.160211267605632</v>
      </c>
      <c r="O28" s="3">
        <f t="shared" si="2"/>
        <v>35.16725352112676</v>
      </c>
      <c r="P28">
        <v>1565</v>
      </c>
      <c r="Q28">
        <v>799</v>
      </c>
      <c r="R28">
        <v>636</v>
      </c>
      <c r="S28" s="1">
        <f t="shared" si="3"/>
        <v>1435</v>
      </c>
      <c r="T28" s="3">
        <f t="shared" si="4"/>
        <v>55.6794425087108</v>
      </c>
      <c r="U28">
        <v>41</v>
      </c>
      <c r="V28" s="3">
        <f t="shared" si="5"/>
        <v>2.8571428571428572</v>
      </c>
      <c r="W28">
        <v>1394</v>
      </c>
      <c r="X28">
        <v>0</v>
      </c>
      <c r="Y28">
        <v>0</v>
      </c>
      <c r="Z28">
        <v>135</v>
      </c>
      <c r="AA28" s="3">
        <f t="shared" si="9"/>
        <v>9.4076655052264808</v>
      </c>
      <c r="AB28">
        <v>68</v>
      </c>
      <c r="AC28" s="3">
        <f t="shared" si="9"/>
        <v>4.7386759581881535</v>
      </c>
      <c r="AD28">
        <v>71</v>
      </c>
      <c r="AE28" s="3">
        <f t="shared" si="10"/>
        <v>4.9477351916376309</v>
      </c>
      <c r="AF28">
        <v>55</v>
      </c>
      <c r="AG28" s="3">
        <f t="shared" si="10"/>
        <v>3.8327526132404182</v>
      </c>
      <c r="AH28">
        <v>62</v>
      </c>
      <c r="AI28" s="3">
        <f t="shared" si="11"/>
        <v>4.3205574912891986</v>
      </c>
      <c r="AJ28">
        <v>1003</v>
      </c>
      <c r="AK28" s="3">
        <f t="shared" si="11"/>
        <v>69.895470383275267</v>
      </c>
      <c r="AL28" t="s">
        <v>208</v>
      </c>
      <c r="AN28"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801.57575757575751</v>
      </c>
      <c r="AO28" s="13">
        <f>2*(Мособлдума_одномандатный[[#This Row],[Рожнов Олег Александрович]]-(AB$124/100)*Мособлдума_одномандатный[[#This Row],[Число действительных бюллетеней]])</f>
        <v>1058.08</v>
      </c>
      <c r="AP28" s="13">
        <f>(Мособлдума_одномандатный[[#This Row],[Вброс]]+Мособлдума_одномандатный[[#This Row],[Перекладывание]])/2</f>
        <v>929.82787878787872</v>
      </c>
      <c r="AQ28" s="13">
        <f>Дума_партии[[#This Row],[Зона ответственности в сен. 2022 г.]]</f>
        <v>0</v>
      </c>
    </row>
    <row r="29" spans="2:43" x14ac:dyDescent="0.4">
      <c r="B29" t="s">
        <v>74</v>
      </c>
      <c r="C29" t="s">
        <v>207</v>
      </c>
      <c r="D29" t="s">
        <v>102</v>
      </c>
      <c r="E29" t="s">
        <v>130</v>
      </c>
      <c r="F29" s="1">
        <f t="shared" ca="1" si="0"/>
        <v>1769</v>
      </c>
      <c r="G29" s="1" t="str">
        <f>Дума_партии[[#This Row],[Местоположение]]</f>
        <v>Наро-Фоминск</v>
      </c>
      <c r="H29">
        <v>1797</v>
      </c>
      <c r="I29" s="1">
        <f>Мособлдума_одномандатный[[#This Row],[Число избирателей, внесенных в список на момент окончания голосования]]</f>
        <v>1797</v>
      </c>
      <c r="J29">
        <v>2500</v>
      </c>
      <c r="L29">
        <v>414</v>
      </c>
      <c r="M29">
        <v>563</v>
      </c>
      <c r="N29" s="3">
        <f t="shared" si="1"/>
        <v>54.368391764051196</v>
      </c>
      <c r="O29" s="3">
        <f t="shared" si="2"/>
        <v>31.329994435169727</v>
      </c>
      <c r="P29">
        <v>1523</v>
      </c>
      <c r="Q29">
        <v>563</v>
      </c>
      <c r="R29">
        <v>414</v>
      </c>
      <c r="S29" s="1">
        <f t="shared" si="3"/>
        <v>977</v>
      </c>
      <c r="T29" s="3">
        <f t="shared" si="4"/>
        <v>57.625383828045038</v>
      </c>
      <c r="U29">
        <v>52</v>
      </c>
      <c r="V29" s="3">
        <f t="shared" si="5"/>
        <v>5.3224155578300918</v>
      </c>
      <c r="W29">
        <v>925</v>
      </c>
      <c r="X29">
        <v>0</v>
      </c>
      <c r="Y29">
        <v>0</v>
      </c>
      <c r="Z29">
        <v>87</v>
      </c>
      <c r="AA29" s="3">
        <f t="shared" si="9"/>
        <v>8.904810644831116</v>
      </c>
      <c r="AB29">
        <v>80</v>
      </c>
      <c r="AC29" s="3">
        <f t="shared" si="9"/>
        <v>8.1883316274309106</v>
      </c>
      <c r="AD29">
        <v>94</v>
      </c>
      <c r="AE29" s="3">
        <f t="shared" si="10"/>
        <v>9.6212896622313195</v>
      </c>
      <c r="AF29">
        <v>94</v>
      </c>
      <c r="AG29" s="3">
        <f t="shared" si="10"/>
        <v>9.6212896622313195</v>
      </c>
      <c r="AH29">
        <v>96</v>
      </c>
      <c r="AI29" s="3">
        <f t="shared" si="11"/>
        <v>9.8259979529170938</v>
      </c>
      <c r="AJ29">
        <v>474</v>
      </c>
      <c r="AK29" s="3">
        <f t="shared" si="11"/>
        <v>48.51586489252815</v>
      </c>
      <c r="AL29" t="s">
        <v>208</v>
      </c>
      <c r="AN29"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241.66666666666663</v>
      </c>
      <c r="AO29" s="13">
        <f>2*(Мособлдума_одномандатный[[#This Row],[Рожнов Олег Александрович]]-(AB$124/100)*Мособлдума_одномандатный[[#This Row],[Число действительных бюллетеней]])</f>
        <v>319</v>
      </c>
      <c r="AP29" s="13">
        <f>(Мособлдума_одномандатный[[#This Row],[Вброс]]+Мособлдума_одномандатный[[#This Row],[Перекладывание]])/2</f>
        <v>280.33333333333331</v>
      </c>
      <c r="AQ29" s="13">
        <f>Дума_партии[[#This Row],[Зона ответственности в сен. 2022 г.]]</f>
        <v>0</v>
      </c>
    </row>
    <row r="30" spans="2:43" x14ac:dyDescent="0.4">
      <c r="B30" t="s">
        <v>74</v>
      </c>
      <c r="C30" t="s">
        <v>207</v>
      </c>
      <c r="D30" t="s">
        <v>102</v>
      </c>
      <c r="E30" t="s">
        <v>131</v>
      </c>
      <c r="F30" s="1">
        <f t="shared" ca="1" si="0"/>
        <v>1770</v>
      </c>
      <c r="G30" s="1" t="str">
        <f>Дума_партии[[#This Row],[Местоположение]]</f>
        <v>Наро-Фоминск</v>
      </c>
      <c r="H30">
        <v>1709</v>
      </c>
      <c r="I30" s="1">
        <f>Мособлдума_одномандатный[[#This Row],[Число избирателей, внесенных в список на момент окончания голосования]]</f>
        <v>1709</v>
      </c>
      <c r="J30">
        <v>2500</v>
      </c>
      <c r="L30">
        <v>530</v>
      </c>
      <c r="M30">
        <v>343</v>
      </c>
      <c r="N30" s="3">
        <f t="shared" si="1"/>
        <v>51.082504388531305</v>
      </c>
      <c r="O30" s="3">
        <f t="shared" si="2"/>
        <v>20.070216500877706</v>
      </c>
      <c r="P30">
        <v>1627</v>
      </c>
      <c r="Q30">
        <v>343</v>
      </c>
      <c r="R30">
        <v>530</v>
      </c>
      <c r="S30" s="1">
        <f t="shared" si="3"/>
        <v>873</v>
      </c>
      <c r="T30" s="3">
        <f t="shared" si="4"/>
        <v>39.289805269186715</v>
      </c>
      <c r="U30">
        <v>61</v>
      </c>
      <c r="V30" s="3">
        <f t="shared" si="5"/>
        <v>6.9873997709049256</v>
      </c>
      <c r="W30">
        <v>812</v>
      </c>
      <c r="X30">
        <v>0</v>
      </c>
      <c r="Y30">
        <v>0</v>
      </c>
      <c r="Z30">
        <v>141</v>
      </c>
      <c r="AA30" s="3">
        <f t="shared" si="9"/>
        <v>16.151202749140893</v>
      </c>
      <c r="AB30">
        <v>60</v>
      </c>
      <c r="AC30" s="3">
        <f t="shared" si="9"/>
        <v>6.8728522336769755</v>
      </c>
      <c r="AD30">
        <v>72</v>
      </c>
      <c r="AE30" s="3">
        <f t="shared" si="10"/>
        <v>8.2474226804123703</v>
      </c>
      <c r="AF30">
        <v>49</v>
      </c>
      <c r="AG30" s="3">
        <f t="shared" si="10"/>
        <v>5.61282932416953</v>
      </c>
      <c r="AH30">
        <v>85</v>
      </c>
      <c r="AI30" s="3">
        <f t="shared" si="11"/>
        <v>9.7365406643757151</v>
      </c>
      <c r="AJ30">
        <v>405</v>
      </c>
      <c r="AK30" s="3">
        <f t="shared" si="11"/>
        <v>46.391752577319586</v>
      </c>
      <c r="AL30" t="s">
        <v>208</v>
      </c>
      <c r="AN30"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195.33333333333329</v>
      </c>
      <c r="AO30" s="13">
        <f>2*(Мособлдума_одномандатный[[#This Row],[Рожнов Олег Александрович]]-(AB$124/100)*Мособлдума_одномандатный[[#This Row],[Число действительных бюллетеней]])</f>
        <v>257.83999999999992</v>
      </c>
      <c r="AP30" s="13">
        <f>(Мособлдума_одномандатный[[#This Row],[Вброс]]+Мособлдума_одномандатный[[#This Row],[Перекладывание]])/2</f>
        <v>226.58666666666659</v>
      </c>
      <c r="AQ30" s="13">
        <f>Дума_партии[[#This Row],[Зона ответственности в сен. 2022 г.]]</f>
        <v>0</v>
      </c>
    </row>
    <row r="31" spans="2:43" x14ac:dyDescent="0.4">
      <c r="B31" t="s">
        <v>74</v>
      </c>
      <c r="C31" t="s">
        <v>207</v>
      </c>
      <c r="D31" t="s">
        <v>102</v>
      </c>
      <c r="E31" t="s">
        <v>132</v>
      </c>
      <c r="F31" s="1">
        <f t="shared" ca="1" si="0"/>
        <v>1771</v>
      </c>
      <c r="G31" s="1" t="str">
        <f>Дума_партии[[#This Row],[Местоположение]]</f>
        <v>Наро-Фоминск</v>
      </c>
      <c r="H31">
        <v>1229</v>
      </c>
      <c r="I31" s="1">
        <f>Мособлдума_одномандатный[[#This Row],[Число избирателей, внесенных в список на момент окончания голосования]]</f>
        <v>1229</v>
      </c>
      <c r="J31">
        <v>1200</v>
      </c>
      <c r="L31">
        <v>424</v>
      </c>
      <c r="M31">
        <v>8</v>
      </c>
      <c r="N31" s="3">
        <f t="shared" si="1"/>
        <v>35.150528885272578</v>
      </c>
      <c r="O31" s="3">
        <f t="shared" si="2"/>
        <v>0.65093572009764034</v>
      </c>
      <c r="P31">
        <v>768</v>
      </c>
      <c r="Q31">
        <v>8</v>
      </c>
      <c r="R31">
        <v>424</v>
      </c>
      <c r="S31" s="1">
        <f t="shared" si="3"/>
        <v>432</v>
      </c>
      <c r="T31" s="3">
        <f t="shared" si="4"/>
        <v>1.8518518518518519</v>
      </c>
      <c r="U31">
        <v>28</v>
      </c>
      <c r="V31" s="3">
        <f t="shared" si="5"/>
        <v>6.4814814814814818</v>
      </c>
      <c r="W31">
        <v>404</v>
      </c>
      <c r="X31">
        <v>0</v>
      </c>
      <c r="Y31">
        <v>0</v>
      </c>
      <c r="Z31">
        <v>98</v>
      </c>
      <c r="AA31" s="3">
        <f t="shared" si="9"/>
        <v>22.685185185185187</v>
      </c>
      <c r="AB31">
        <v>49</v>
      </c>
      <c r="AC31" s="3">
        <f t="shared" si="9"/>
        <v>11.342592592592593</v>
      </c>
      <c r="AD31">
        <v>40</v>
      </c>
      <c r="AE31" s="3">
        <f t="shared" si="10"/>
        <v>9.2592592592592595</v>
      </c>
      <c r="AF31">
        <v>31</v>
      </c>
      <c r="AG31" s="3">
        <f t="shared" si="10"/>
        <v>7.1759259259259256</v>
      </c>
      <c r="AH31">
        <v>31</v>
      </c>
      <c r="AI31" s="3">
        <f t="shared" si="11"/>
        <v>7.1759259259259256</v>
      </c>
      <c r="AJ31">
        <v>155</v>
      </c>
      <c r="AK31" s="3">
        <f t="shared" si="11"/>
        <v>35.879629629629626</v>
      </c>
      <c r="AL31" t="s">
        <v>208</v>
      </c>
      <c r="AN31"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26.727272727272691</v>
      </c>
      <c r="AO31" s="13">
        <f>2*(Мособлдума_одномандатный[[#This Row],[Рожнов Олег Александрович]]-(AB$124/100)*Мособлдума_одномандатный[[#This Row],[Число действительных бюллетеней]])</f>
        <v>35.279999999999973</v>
      </c>
      <c r="AP31" s="13">
        <f>(Мособлдума_одномандатный[[#This Row],[Вброс]]+Мособлдума_одномандатный[[#This Row],[Перекладывание]])/2</f>
        <v>31.003636363636332</v>
      </c>
      <c r="AQ31" s="13">
        <f>Дума_партии[[#This Row],[Зона ответственности в сен. 2022 г.]]</f>
        <v>0</v>
      </c>
    </row>
    <row r="32" spans="2:43" x14ac:dyDescent="0.4">
      <c r="B32" t="s">
        <v>74</v>
      </c>
      <c r="C32" t="s">
        <v>207</v>
      </c>
      <c r="D32" t="s">
        <v>102</v>
      </c>
      <c r="E32" t="s">
        <v>133</v>
      </c>
      <c r="F32" s="1">
        <f t="shared" ca="1" si="0"/>
        <v>1772</v>
      </c>
      <c r="G32" s="1" t="str">
        <f>Дума_партии[[#This Row],[Местоположение]]</f>
        <v>Наро-Фоминск</v>
      </c>
      <c r="H32">
        <v>1969</v>
      </c>
      <c r="I32" s="1">
        <f>Мособлдума_одномандатный[[#This Row],[Число избирателей, внесенных в список на момент окончания голосования]]</f>
        <v>1969</v>
      </c>
      <c r="J32">
        <v>2000</v>
      </c>
      <c r="L32">
        <v>1091</v>
      </c>
      <c r="M32">
        <v>250</v>
      </c>
      <c r="N32" s="3">
        <f t="shared" si="1"/>
        <v>68.105637379380397</v>
      </c>
      <c r="O32" s="3">
        <f t="shared" si="2"/>
        <v>12.696800406297614</v>
      </c>
      <c r="P32">
        <v>659</v>
      </c>
      <c r="Q32">
        <v>250</v>
      </c>
      <c r="R32">
        <v>1091</v>
      </c>
      <c r="S32" s="1">
        <f t="shared" si="3"/>
        <v>1341</v>
      </c>
      <c r="T32" s="3">
        <f t="shared" si="4"/>
        <v>18.642803877703205</v>
      </c>
      <c r="U32">
        <v>79</v>
      </c>
      <c r="V32" s="3">
        <f t="shared" si="5"/>
        <v>5.8911260253542137</v>
      </c>
      <c r="W32">
        <v>1262</v>
      </c>
      <c r="X32">
        <v>0</v>
      </c>
      <c r="Y32">
        <v>0</v>
      </c>
      <c r="Z32">
        <v>189</v>
      </c>
      <c r="AA32" s="3">
        <f t="shared" si="9"/>
        <v>14.093959731543624</v>
      </c>
      <c r="AB32">
        <v>99</v>
      </c>
      <c r="AC32" s="3">
        <f t="shared" si="9"/>
        <v>7.3825503355704694</v>
      </c>
      <c r="AD32">
        <v>118</v>
      </c>
      <c r="AE32" s="3">
        <f t="shared" si="10"/>
        <v>8.7994034302759143</v>
      </c>
      <c r="AF32">
        <v>92</v>
      </c>
      <c r="AG32" s="3">
        <f t="shared" si="10"/>
        <v>6.8605518269947803</v>
      </c>
      <c r="AH32">
        <v>183</v>
      </c>
      <c r="AI32" s="3">
        <f t="shared" si="11"/>
        <v>13.646532438478747</v>
      </c>
      <c r="AJ32">
        <v>581</v>
      </c>
      <c r="AK32" s="3">
        <f t="shared" si="11"/>
        <v>43.325876211782251</v>
      </c>
      <c r="AL32" t="s">
        <v>208</v>
      </c>
      <c r="AN32"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230.18181818181813</v>
      </c>
      <c r="AO32" s="13">
        <f>2*(Мособлдума_одномандатный[[#This Row],[Рожнов Олег Александрович]]-(AB$124/100)*Мособлдума_одномандатный[[#This Row],[Число действительных бюллетеней]])</f>
        <v>303.83999999999992</v>
      </c>
      <c r="AP32" s="13">
        <f>(Мособлдума_одномандатный[[#This Row],[Вброс]]+Мособлдума_одномандатный[[#This Row],[Перекладывание]])/2</f>
        <v>267.01090909090902</v>
      </c>
      <c r="AQ32" s="13">
        <f>Дума_партии[[#This Row],[Зона ответственности в сен. 2022 г.]]</f>
        <v>0</v>
      </c>
    </row>
    <row r="33" spans="2:43" x14ac:dyDescent="0.4">
      <c r="B33" t="s">
        <v>74</v>
      </c>
      <c r="C33" t="s">
        <v>207</v>
      </c>
      <c r="D33" t="s">
        <v>102</v>
      </c>
      <c r="E33" t="s">
        <v>134</v>
      </c>
      <c r="F33" s="1">
        <f t="shared" ca="1" si="0"/>
        <v>1773</v>
      </c>
      <c r="G33" s="1" t="str">
        <f>Дума_партии[[#This Row],[Местоположение]]</f>
        <v>Наро-Фоминск</v>
      </c>
      <c r="H33">
        <v>1144</v>
      </c>
      <c r="I33" s="1">
        <f>Мособлдума_одномандатный[[#This Row],[Число избирателей, внесенных в список на момент окончания голосования]]</f>
        <v>1144</v>
      </c>
      <c r="J33">
        <v>1100</v>
      </c>
      <c r="L33">
        <v>459</v>
      </c>
      <c r="M33">
        <v>2</v>
      </c>
      <c r="N33" s="3">
        <f t="shared" si="1"/>
        <v>40.2972027972028</v>
      </c>
      <c r="O33" s="3">
        <f t="shared" si="2"/>
        <v>0.17482517482517482</v>
      </c>
      <c r="P33">
        <v>639</v>
      </c>
      <c r="Q33">
        <v>2</v>
      </c>
      <c r="R33">
        <v>459</v>
      </c>
      <c r="S33" s="1">
        <f t="shared" si="3"/>
        <v>461</v>
      </c>
      <c r="T33" s="3">
        <f t="shared" si="4"/>
        <v>0.43383947939262474</v>
      </c>
      <c r="U33">
        <v>34</v>
      </c>
      <c r="V33" s="3">
        <f t="shared" si="5"/>
        <v>7.3752711496746208</v>
      </c>
      <c r="W33">
        <v>427</v>
      </c>
      <c r="X33">
        <v>0</v>
      </c>
      <c r="Y33">
        <v>0</v>
      </c>
      <c r="Z33">
        <v>118</v>
      </c>
      <c r="AA33" s="3">
        <f t="shared" si="9"/>
        <v>25.596529284164859</v>
      </c>
      <c r="AB33">
        <v>46</v>
      </c>
      <c r="AC33" s="3">
        <f t="shared" si="9"/>
        <v>9.9783080260303691</v>
      </c>
      <c r="AD33">
        <v>51</v>
      </c>
      <c r="AE33" s="3">
        <f t="shared" si="10"/>
        <v>11.062906724511931</v>
      </c>
      <c r="AF33">
        <v>21</v>
      </c>
      <c r="AG33" s="3">
        <f t="shared" si="10"/>
        <v>4.5553145336225596</v>
      </c>
      <c r="AH33">
        <v>50</v>
      </c>
      <c r="AI33" s="3">
        <f t="shared" si="11"/>
        <v>10.845986984815617</v>
      </c>
      <c r="AJ33">
        <v>141</v>
      </c>
      <c r="AK33" s="3">
        <f t="shared" si="11"/>
        <v>30.585683297180044</v>
      </c>
      <c r="AL33" t="s">
        <v>208</v>
      </c>
      <c r="AN33"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-6.3333333333333712</v>
      </c>
      <c r="AO33" s="13">
        <f>2*(Мособлдума_одномандатный[[#This Row],[Рожнов Олег Александрович]]-(AB$124/100)*Мособлдума_одномандатный[[#This Row],[Число действительных бюллетеней]])</f>
        <v>-8.3600000000000136</v>
      </c>
      <c r="AP33" s="13">
        <f>(Мособлдума_одномандатный[[#This Row],[Вброс]]+Мособлдума_одномандатный[[#This Row],[Перекладывание]])/2</f>
        <v>-7.3466666666666924</v>
      </c>
      <c r="AQ33" s="13">
        <f>Дума_партии[[#This Row],[Зона ответственности в сен. 2022 г.]]</f>
        <v>0</v>
      </c>
    </row>
    <row r="34" spans="2:43" x14ac:dyDescent="0.4">
      <c r="B34" t="s">
        <v>74</v>
      </c>
      <c r="C34" t="s">
        <v>207</v>
      </c>
      <c r="D34" t="s">
        <v>102</v>
      </c>
      <c r="E34" t="s">
        <v>135</v>
      </c>
      <c r="F34" s="1">
        <f t="shared" ref="F34:F65" ca="1" si="12">SUMPRODUCT(MID(0&amp;E34, LARGE(INDEX(ISNUMBER(--MID(E34, ROW(INDIRECT("1:"&amp;LEN(E34))), 1)) * ROW(INDIRECT("1:"&amp;LEN(E34))), 0), ROW(INDIRECT("1:"&amp;LEN(E34))))+1, 1) * 10^ROW(INDIRECT("1:"&amp;LEN(E34)))/10)</f>
        <v>1774</v>
      </c>
      <c r="G34" s="1" t="str">
        <f>Дума_партии[[#This Row],[Местоположение]]</f>
        <v>Наро-Фоминск</v>
      </c>
      <c r="H34">
        <v>452</v>
      </c>
      <c r="I34" s="1">
        <f>Мособлдума_одномандатный[[#This Row],[Число избирателей, внесенных в список на момент окончания голосования]]</f>
        <v>452</v>
      </c>
      <c r="J34">
        <v>400</v>
      </c>
      <c r="L34">
        <v>273</v>
      </c>
      <c r="M34">
        <v>4</v>
      </c>
      <c r="N34" s="3">
        <f t="shared" si="1"/>
        <v>61.283185840707965</v>
      </c>
      <c r="O34" s="3">
        <f t="shared" si="2"/>
        <v>0.88495575221238942</v>
      </c>
      <c r="P34">
        <v>123</v>
      </c>
      <c r="Q34">
        <v>4</v>
      </c>
      <c r="R34">
        <v>273</v>
      </c>
      <c r="S34" s="1">
        <f t="shared" si="3"/>
        <v>277</v>
      </c>
      <c r="T34" s="3">
        <f t="shared" si="4"/>
        <v>1.4440433212996391</v>
      </c>
      <c r="U34">
        <v>3</v>
      </c>
      <c r="V34" s="3">
        <f t="shared" si="5"/>
        <v>1.0830324909747293</v>
      </c>
      <c r="W34">
        <v>274</v>
      </c>
      <c r="X34">
        <v>0</v>
      </c>
      <c r="Y34">
        <v>0</v>
      </c>
      <c r="Z34">
        <v>21</v>
      </c>
      <c r="AA34" s="3">
        <f t="shared" si="9"/>
        <v>7.581227436823105</v>
      </c>
      <c r="AB34">
        <v>15</v>
      </c>
      <c r="AC34" s="3">
        <f t="shared" si="9"/>
        <v>5.4151624548736459</v>
      </c>
      <c r="AD34">
        <v>19</v>
      </c>
      <c r="AE34" s="3">
        <f t="shared" si="10"/>
        <v>6.859205776173285</v>
      </c>
      <c r="AF34">
        <v>22</v>
      </c>
      <c r="AG34" s="3">
        <f t="shared" si="10"/>
        <v>7.9422382671480145</v>
      </c>
      <c r="AH34">
        <v>31</v>
      </c>
      <c r="AI34" s="3">
        <f t="shared" si="11"/>
        <v>11.191335740072201</v>
      </c>
      <c r="AJ34">
        <v>166</v>
      </c>
      <c r="AK34" s="3">
        <f t="shared" si="11"/>
        <v>59.927797833935017</v>
      </c>
      <c r="AL34" t="s">
        <v>208</v>
      </c>
      <c r="AN34"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110.36363636363635</v>
      </c>
      <c r="AO34" s="13">
        <f>2*(Мособлдума_одномандатный[[#This Row],[Рожнов Олег Александрович]]-(AB$124/100)*Мособлдума_одномандатный[[#This Row],[Число действительных бюллетеней]])</f>
        <v>145.67999999999998</v>
      </c>
      <c r="AP34" s="13">
        <f>(Мособлдума_одномандатный[[#This Row],[Вброс]]+Мособлдума_одномандатный[[#This Row],[Перекладывание]])/2</f>
        <v>128.02181818181816</v>
      </c>
      <c r="AQ34" s="13">
        <f>Дума_партии[[#This Row],[Зона ответственности в сен. 2022 г.]]</f>
        <v>0</v>
      </c>
    </row>
    <row r="35" spans="2:43" x14ac:dyDescent="0.4">
      <c r="B35" t="s">
        <v>74</v>
      </c>
      <c r="C35" t="s">
        <v>207</v>
      </c>
      <c r="D35" t="s">
        <v>102</v>
      </c>
      <c r="E35" t="s">
        <v>136</v>
      </c>
      <c r="F35" s="1">
        <f t="shared" ca="1" si="12"/>
        <v>1775</v>
      </c>
      <c r="G35" s="1" t="str">
        <f>Дума_партии[[#This Row],[Местоположение]]</f>
        <v>Апрелевка</v>
      </c>
      <c r="H35">
        <v>1295</v>
      </c>
      <c r="I35" s="1">
        <f>Мособлдума_одномандатный[[#This Row],[Число избирателей, внесенных в список на момент окончания голосования]]</f>
        <v>1295</v>
      </c>
      <c r="J35">
        <v>1200</v>
      </c>
      <c r="L35">
        <v>550</v>
      </c>
      <c r="M35">
        <v>60</v>
      </c>
      <c r="N35" s="3">
        <f t="shared" si="1"/>
        <v>47.104247104247101</v>
      </c>
      <c r="O35" s="3">
        <f t="shared" si="2"/>
        <v>4.6332046332046328</v>
      </c>
      <c r="P35">
        <v>590</v>
      </c>
      <c r="Q35">
        <v>60</v>
      </c>
      <c r="R35">
        <v>550</v>
      </c>
      <c r="S35" s="1">
        <f t="shared" si="3"/>
        <v>610</v>
      </c>
      <c r="T35" s="3">
        <f t="shared" si="4"/>
        <v>9.8360655737704921</v>
      </c>
      <c r="U35">
        <v>27</v>
      </c>
      <c r="V35" s="3">
        <f t="shared" si="5"/>
        <v>4.4262295081967213</v>
      </c>
      <c r="W35">
        <v>583</v>
      </c>
      <c r="X35">
        <v>0</v>
      </c>
      <c r="Y35">
        <v>0</v>
      </c>
      <c r="Z35">
        <v>95</v>
      </c>
      <c r="AA35" s="3">
        <f t="shared" ref="AA35:AC39" si="13">100*Z35/$S35</f>
        <v>15.573770491803279</v>
      </c>
      <c r="AB35">
        <v>24</v>
      </c>
      <c r="AC35" s="3">
        <f t="shared" si="13"/>
        <v>3.9344262295081966</v>
      </c>
      <c r="AD35">
        <v>41</v>
      </c>
      <c r="AE35" s="3">
        <f t="shared" ref="AE35:AG39" si="14">100*AD35/$S35</f>
        <v>6.721311475409836</v>
      </c>
      <c r="AF35">
        <v>72</v>
      </c>
      <c r="AG35" s="3">
        <f t="shared" si="14"/>
        <v>11.803278688524591</v>
      </c>
      <c r="AH35">
        <v>40</v>
      </c>
      <c r="AI35" s="3">
        <f t="shared" ref="AI35:AK39" si="15">100*AH35/$S35</f>
        <v>6.557377049180328</v>
      </c>
      <c r="AJ35">
        <v>311</v>
      </c>
      <c r="AK35" s="3">
        <f t="shared" si="15"/>
        <v>50.983606557377051</v>
      </c>
      <c r="AL35" t="s">
        <v>208</v>
      </c>
      <c r="AN35"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170.87878787878785</v>
      </c>
      <c r="AO35" s="13">
        <f>2*(Мособлдума_одномандатный[[#This Row],[Рожнов Олег Александрович]]-(AB$124/100)*Мособлдума_одномандатный[[#This Row],[Число действительных бюллетеней]])</f>
        <v>225.55999999999995</v>
      </c>
      <c r="AP35" s="13">
        <f>(Мособлдума_одномандатный[[#This Row],[Вброс]]+Мособлдума_одномандатный[[#This Row],[Перекладывание]])/2</f>
        <v>198.21939393939391</v>
      </c>
      <c r="AQ35" s="13" t="str">
        <f>Дума_партии[[#This Row],[Зона ответственности в сен. 2022 г.]]</f>
        <v>Одинцово КПРФ</v>
      </c>
    </row>
    <row r="36" spans="2:43" x14ac:dyDescent="0.4">
      <c r="B36" t="s">
        <v>74</v>
      </c>
      <c r="C36" t="s">
        <v>207</v>
      </c>
      <c r="D36" t="s">
        <v>102</v>
      </c>
      <c r="E36" t="s">
        <v>137</v>
      </c>
      <c r="F36" s="1">
        <f t="shared" ca="1" si="12"/>
        <v>1776</v>
      </c>
      <c r="G36" s="1" t="str">
        <f>Дума_партии[[#This Row],[Местоположение]]</f>
        <v>Апрелевка</v>
      </c>
      <c r="H36">
        <v>2204</v>
      </c>
      <c r="I36" s="1">
        <f>Мособлдума_одномандатный[[#This Row],[Число избирателей, внесенных в список на момент окончания голосования]]</f>
        <v>2204</v>
      </c>
      <c r="J36">
        <v>2200</v>
      </c>
      <c r="L36">
        <v>543</v>
      </c>
      <c r="M36">
        <v>212</v>
      </c>
      <c r="N36" s="3">
        <f t="shared" si="1"/>
        <v>34.255898366606168</v>
      </c>
      <c r="O36" s="3">
        <f t="shared" si="2"/>
        <v>9.6188747731397459</v>
      </c>
      <c r="P36">
        <v>1445</v>
      </c>
      <c r="Q36">
        <v>212</v>
      </c>
      <c r="R36">
        <v>543</v>
      </c>
      <c r="S36" s="1">
        <f t="shared" si="3"/>
        <v>755</v>
      </c>
      <c r="T36" s="3">
        <f t="shared" si="4"/>
        <v>28.079470198675498</v>
      </c>
      <c r="U36">
        <v>21</v>
      </c>
      <c r="V36" s="3">
        <f t="shared" si="5"/>
        <v>2.7814569536423841</v>
      </c>
      <c r="W36">
        <v>734</v>
      </c>
      <c r="X36">
        <v>0</v>
      </c>
      <c r="Y36">
        <v>0</v>
      </c>
      <c r="Z36">
        <v>148</v>
      </c>
      <c r="AA36" s="3">
        <f t="shared" si="13"/>
        <v>19.602649006622517</v>
      </c>
      <c r="AB36">
        <v>33</v>
      </c>
      <c r="AC36" s="3">
        <f t="shared" si="13"/>
        <v>4.370860927152318</v>
      </c>
      <c r="AD36">
        <v>69</v>
      </c>
      <c r="AE36" s="3">
        <f t="shared" si="14"/>
        <v>9.1390728476821188</v>
      </c>
      <c r="AF36">
        <v>102</v>
      </c>
      <c r="AG36" s="3">
        <f t="shared" si="14"/>
        <v>13.509933774834437</v>
      </c>
      <c r="AH36">
        <v>47</v>
      </c>
      <c r="AI36" s="3">
        <f t="shared" si="15"/>
        <v>6.2251655629139071</v>
      </c>
      <c r="AJ36">
        <v>335</v>
      </c>
      <c r="AK36" s="3">
        <f t="shared" si="15"/>
        <v>44.370860927152314</v>
      </c>
      <c r="AL36" t="s">
        <v>208</v>
      </c>
      <c r="AN36"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129.45454545454541</v>
      </c>
      <c r="AO36" s="13">
        <f>2*(Мособлдума_одномандатный[[#This Row],[Рожнов Олег Александрович]]-(AB$124/100)*Мособлдума_одномандатный[[#This Row],[Число действительных бюллетеней]])</f>
        <v>170.87999999999994</v>
      </c>
      <c r="AP36" s="13">
        <f>(Мособлдума_одномандатный[[#This Row],[Вброс]]+Мособлдума_одномандатный[[#This Row],[Перекладывание]])/2</f>
        <v>150.16727272727269</v>
      </c>
      <c r="AQ36" s="13" t="str">
        <f>Дума_партии[[#This Row],[Зона ответственности в сен. 2022 г.]]</f>
        <v>Одинцово КПРФ</v>
      </c>
    </row>
    <row r="37" spans="2:43" x14ac:dyDescent="0.4">
      <c r="B37" t="s">
        <v>74</v>
      </c>
      <c r="C37" t="s">
        <v>207</v>
      </c>
      <c r="D37" t="s">
        <v>102</v>
      </c>
      <c r="E37" t="s">
        <v>138</v>
      </c>
      <c r="F37" s="1">
        <f t="shared" ca="1" si="12"/>
        <v>1777</v>
      </c>
      <c r="G37" s="1" t="str">
        <f>Дума_партии[[#This Row],[Местоположение]]</f>
        <v>Апрелевка</v>
      </c>
      <c r="H37">
        <v>1045</v>
      </c>
      <c r="I37" s="1">
        <f>Мособлдума_одномандатный[[#This Row],[Число избирателей, внесенных в список на момент окончания голосования]]</f>
        <v>1045</v>
      </c>
      <c r="J37">
        <v>1000</v>
      </c>
      <c r="L37">
        <v>583</v>
      </c>
      <c r="M37">
        <v>95</v>
      </c>
      <c r="N37" s="3">
        <f t="shared" si="1"/>
        <v>64.880382775119614</v>
      </c>
      <c r="O37" s="3">
        <f t="shared" si="2"/>
        <v>9.0909090909090917</v>
      </c>
      <c r="P37">
        <v>322</v>
      </c>
      <c r="Q37">
        <v>95</v>
      </c>
      <c r="R37">
        <v>583</v>
      </c>
      <c r="S37" s="1">
        <f t="shared" si="3"/>
        <v>678</v>
      </c>
      <c r="T37" s="3">
        <f>100*Q37/S37</f>
        <v>14.011799410029498</v>
      </c>
      <c r="U37">
        <v>20</v>
      </c>
      <c r="V37" s="3">
        <f t="shared" si="5"/>
        <v>2.9498525073746311</v>
      </c>
      <c r="W37">
        <v>658</v>
      </c>
      <c r="X37">
        <v>0</v>
      </c>
      <c r="Y37">
        <v>0</v>
      </c>
      <c r="Z37">
        <v>81</v>
      </c>
      <c r="AA37" s="3">
        <f t="shared" si="13"/>
        <v>11.946902654867257</v>
      </c>
      <c r="AB37">
        <v>30</v>
      </c>
      <c r="AC37" s="3">
        <f t="shared" si="13"/>
        <v>4.4247787610619467</v>
      </c>
      <c r="AD37">
        <v>31</v>
      </c>
      <c r="AE37" s="3">
        <f t="shared" si="14"/>
        <v>4.5722713864306783</v>
      </c>
      <c r="AF37">
        <v>45</v>
      </c>
      <c r="AG37" s="3">
        <f t="shared" si="14"/>
        <v>6.6371681415929205</v>
      </c>
      <c r="AH37">
        <v>38</v>
      </c>
      <c r="AI37" s="3">
        <f t="shared" si="15"/>
        <v>5.6047197640117998</v>
      </c>
      <c r="AJ37">
        <v>433</v>
      </c>
      <c r="AK37" s="3">
        <f t="shared" si="15"/>
        <v>63.864306784660769</v>
      </c>
      <c r="AL37" t="s">
        <v>208</v>
      </c>
      <c r="AN37"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317.09090909090907</v>
      </c>
      <c r="AO37" s="13">
        <f>2*(Мособлдума_одномандатный[[#This Row],[Рожнов Олег Александрович]]-(AB$124/100)*Мособлдума_одномандатный[[#This Row],[Число действительных бюллетеней]])</f>
        <v>418.55999999999995</v>
      </c>
      <c r="AP37" s="13">
        <f>(Мособлдума_одномандатный[[#This Row],[Вброс]]+Мособлдума_одномандатный[[#This Row],[Перекладывание]])/2</f>
        <v>367.82545454545448</v>
      </c>
      <c r="AQ37" s="13" t="str">
        <f>Дума_партии[[#This Row],[Зона ответственности в сен. 2022 г.]]</f>
        <v>Одинцово КПРФ</v>
      </c>
    </row>
    <row r="38" spans="2:43" x14ac:dyDescent="0.4">
      <c r="B38" t="s">
        <v>74</v>
      </c>
      <c r="C38" t="s">
        <v>207</v>
      </c>
      <c r="D38" t="s">
        <v>102</v>
      </c>
      <c r="E38" t="s">
        <v>139</v>
      </c>
      <c r="F38" s="1">
        <f t="shared" ca="1" si="12"/>
        <v>1778</v>
      </c>
      <c r="G38" s="1" t="str">
        <f>Дума_партии[[#This Row],[Местоположение]]</f>
        <v>Апрелевка</v>
      </c>
      <c r="H38">
        <v>1016</v>
      </c>
      <c r="I38" s="1">
        <f>Мособлдума_одномандатный[[#This Row],[Число избирателей, внесенных в список на момент окончания голосования]]</f>
        <v>1016</v>
      </c>
      <c r="J38">
        <v>1000</v>
      </c>
      <c r="L38">
        <v>601</v>
      </c>
      <c r="M38">
        <v>6</v>
      </c>
      <c r="N38" s="3">
        <f t="shared" si="1"/>
        <v>59.744094488188978</v>
      </c>
      <c r="O38" s="3">
        <f t="shared" si="2"/>
        <v>0.59055118110236215</v>
      </c>
      <c r="P38">
        <v>393</v>
      </c>
      <c r="Q38">
        <v>6</v>
      </c>
      <c r="R38">
        <v>601</v>
      </c>
      <c r="S38" s="1">
        <f t="shared" si="3"/>
        <v>607</v>
      </c>
      <c r="T38" s="3">
        <f t="shared" si="4"/>
        <v>0.98846787479406917</v>
      </c>
      <c r="U38">
        <v>19</v>
      </c>
      <c r="V38" s="3">
        <f t="shared" si="5"/>
        <v>3.1301482701812193</v>
      </c>
      <c r="W38">
        <v>588</v>
      </c>
      <c r="X38">
        <v>0</v>
      </c>
      <c r="Y38">
        <v>0</v>
      </c>
      <c r="Z38">
        <v>80</v>
      </c>
      <c r="AA38" s="3">
        <f t="shared" si="13"/>
        <v>13.179571663920923</v>
      </c>
      <c r="AB38">
        <v>32</v>
      </c>
      <c r="AC38" s="3">
        <f t="shared" si="13"/>
        <v>5.2718286655683686</v>
      </c>
      <c r="AD38">
        <v>37</v>
      </c>
      <c r="AE38" s="3">
        <f t="shared" si="14"/>
        <v>6.0955518945634264</v>
      </c>
      <c r="AF38">
        <v>35</v>
      </c>
      <c r="AG38" s="3">
        <f t="shared" si="14"/>
        <v>5.7660626029654036</v>
      </c>
      <c r="AH38">
        <v>31</v>
      </c>
      <c r="AI38" s="3">
        <f t="shared" si="15"/>
        <v>5.1070840197693572</v>
      </c>
      <c r="AJ38">
        <v>373</v>
      </c>
      <c r="AK38" s="3">
        <f t="shared" si="15"/>
        <v>61.449752883031302</v>
      </c>
      <c r="AL38" t="s">
        <v>208</v>
      </c>
      <c r="AN38"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262.24242424242425</v>
      </c>
      <c r="AO38" s="13">
        <f>2*(Мособлдума_одномандатный[[#This Row],[Рожнов Олег Александрович]]-(AB$124/100)*Мособлдума_одномандатный[[#This Row],[Число действительных бюллетеней]])</f>
        <v>346.15999999999997</v>
      </c>
      <c r="AP38" s="13">
        <f>(Мособлдума_одномандатный[[#This Row],[Вброс]]+Мособлдума_одномандатный[[#This Row],[Перекладывание]])/2</f>
        <v>304.20121212121211</v>
      </c>
      <c r="AQ38" s="13" t="str">
        <f>Дума_партии[[#This Row],[Зона ответственности в сен. 2022 г.]]</f>
        <v>Одинцово КПРФ</v>
      </c>
    </row>
    <row r="39" spans="2:43" x14ac:dyDescent="0.4">
      <c r="B39" t="s">
        <v>74</v>
      </c>
      <c r="C39" t="s">
        <v>207</v>
      </c>
      <c r="D39" t="s">
        <v>102</v>
      </c>
      <c r="E39" t="s">
        <v>140</v>
      </c>
      <c r="F39" s="1">
        <f t="shared" ca="1" si="12"/>
        <v>1779</v>
      </c>
      <c r="G39" s="1" t="str">
        <f>Дума_партии[[#This Row],[Местоположение]]</f>
        <v>Апрелевка</v>
      </c>
      <c r="H39">
        <v>1104</v>
      </c>
      <c r="I39" s="1">
        <f>Мособлдума_одномандатный[[#This Row],[Число избирателей, внесенных в список на момент окончания голосования]]</f>
        <v>1104</v>
      </c>
      <c r="J39">
        <v>1100</v>
      </c>
      <c r="L39">
        <v>578</v>
      </c>
      <c r="M39">
        <v>15</v>
      </c>
      <c r="N39" s="3">
        <f t="shared" si="1"/>
        <v>53.713768115942031</v>
      </c>
      <c r="O39" s="3">
        <f t="shared" si="2"/>
        <v>1.3586956521739131</v>
      </c>
      <c r="P39">
        <v>507</v>
      </c>
      <c r="Q39">
        <v>15</v>
      </c>
      <c r="R39">
        <v>578</v>
      </c>
      <c r="S39" s="1">
        <f t="shared" si="3"/>
        <v>593</v>
      </c>
      <c r="T39" s="3">
        <f t="shared" si="4"/>
        <v>2.5295109612141653</v>
      </c>
      <c r="U39">
        <v>32</v>
      </c>
      <c r="V39" s="3">
        <f t="shared" si="5"/>
        <v>5.3962900505902196</v>
      </c>
      <c r="W39">
        <v>561</v>
      </c>
      <c r="X39">
        <v>0</v>
      </c>
      <c r="Y39">
        <v>0</v>
      </c>
      <c r="Z39">
        <v>76</v>
      </c>
      <c r="AA39" s="3">
        <f t="shared" si="13"/>
        <v>12.816188870151771</v>
      </c>
      <c r="AB39">
        <v>18</v>
      </c>
      <c r="AC39" s="3">
        <f t="shared" si="13"/>
        <v>3.0354131534569984</v>
      </c>
      <c r="AD39">
        <v>30</v>
      </c>
      <c r="AE39" s="3">
        <f t="shared" si="14"/>
        <v>5.0590219224283306</v>
      </c>
      <c r="AF39">
        <v>36</v>
      </c>
      <c r="AG39" s="3">
        <f t="shared" si="14"/>
        <v>6.0708263069139967</v>
      </c>
      <c r="AH39">
        <v>23</v>
      </c>
      <c r="AI39" s="3">
        <f t="shared" si="15"/>
        <v>3.87858347386172</v>
      </c>
      <c r="AJ39">
        <v>378</v>
      </c>
      <c r="AK39" s="3">
        <f t="shared" si="15"/>
        <v>63.743676222596967</v>
      </c>
      <c r="AL39" t="s">
        <v>208</v>
      </c>
      <c r="AN39"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283.72727272727269</v>
      </c>
      <c r="AO39" s="13">
        <f>2*(Мособлдума_одномандатный[[#This Row],[Рожнов Олег Александрович]]-(AB$124/100)*Мособлдума_одномандатный[[#This Row],[Число действительных бюллетеней]])</f>
        <v>374.52</v>
      </c>
      <c r="AP39" s="13">
        <f>(Мособлдума_одномандатный[[#This Row],[Вброс]]+Мособлдума_одномандатный[[#This Row],[Перекладывание]])/2</f>
        <v>329.12363636363636</v>
      </c>
      <c r="AQ39" s="13" t="str">
        <f>Дума_партии[[#This Row],[Зона ответственности в сен. 2022 г.]]</f>
        <v>Одинцово КПРФ</v>
      </c>
    </row>
    <row r="40" spans="2:43" x14ac:dyDescent="0.4">
      <c r="B40" t="s">
        <v>74</v>
      </c>
      <c r="C40" t="s">
        <v>207</v>
      </c>
      <c r="D40" t="s">
        <v>102</v>
      </c>
      <c r="E40" t="s">
        <v>141</v>
      </c>
      <c r="F40" s="1">
        <f t="shared" ca="1" si="12"/>
        <v>1780</v>
      </c>
      <c r="G40" s="1" t="str">
        <f>Дума_партии[[#This Row],[Местоположение]]</f>
        <v>Апрелевка</v>
      </c>
      <c r="H40">
        <v>974</v>
      </c>
      <c r="I40" s="10">
        <f>Мособлдума_одномандатный[[#This Row],[Число избирателей, внесенных в список на момент окончания голосования]]</f>
        <v>974</v>
      </c>
      <c r="J40">
        <v>900</v>
      </c>
      <c r="L40">
        <v>742</v>
      </c>
      <c r="M40">
        <v>1</v>
      </c>
      <c r="N40" s="3">
        <f t="shared" ref="N40:N71" si="16">100*(L40+M40)/H40</f>
        <v>76.283367556468178</v>
      </c>
      <c r="O40" s="3">
        <f t="shared" ref="O40:O71" si="17">100*M40/H40</f>
        <v>0.10266940451745379</v>
      </c>
      <c r="P40">
        <v>157</v>
      </c>
      <c r="Q40">
        <v>1</v>
      </c>
      <c r="R40">
        <v>741</v>
      </c>
      <c r="S40" s="1">
        <f t="shared" ref="S40:S71" si="18">Q40+R40</f>
        <v>742</v>
      </c>
      <c r="T40" s="3">
        <f t="shared" ref="T40:T71" si="19">100*Q40/S40</f>
        <v>0.13477088948787061</v>
      </c>
      <c r="U40">
        <v>135</v>
      </c>
      <c r="V40" s="3">
        <f t="shared" ref="V40:V71" si="20">100*U40/S40</f>
        <v>18.194070080862534</v>
      </c>
      <c r="W40">
        <v>607</v>
      </c>
      <c r="X40">
        <v>0</v>
      </c>
      <c r="Y40">
        <v>0</v>
      </c>
      <c r="Z40">
        <v>77</v>
      </c>
      <c r="AA40" s="3">
        <f t="shared" ref="AA40:AA71" si="21">100*Z40/$S40</f>
        <v>10.377358490566039</v>
      </c>
      <c r="AB40">
        <v>24</v>
      </c>
      <c r="AC40" s="3">
        <f t="shared" ref="AC40:AC71" si="22">100*AB40/$S40</f>
        <v>3.2345013477088949</v>
      </c>
      <c r="AD40">
        <v>16</v>
      </c>
      <c r="AE40" s="3">
        <f t="shared" ref="AE40:AE71" si="23">100*AD40/$S40</f>
        <v>2.1563342318059298</v>
      </c>
      <c r="AF40">
        <v>32</v>
      </c>
      <c r="AG40" s="3">
        <f t="shared" ref="AG40:AG71" si="24">100*AF40/$S40</f>
        <v>4.3126684636118595</v>
      </c>
      <c r="AH40">
        <v>32</v>
      </c>
      <c r="AI40" s="3">
        <f t="shared" ref="AI40:AI71" si="25">100*AH40/$S40</f>
        <v>4.3126684636118595</v>
      </c>
      <c r="AJ40">
        <v>426</v>
      </c>
      <c r="AK40" s="3">
        <f t="shared" ref="AK40:AK71" si="26">100*AJ40/$S40</f>
        <v>57.412398921832882</v>
      </c>
      <c r="AL40" t="s">
        <v>208</v>
      </c>
      <c r="AN40"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332.75757575757575</v>
      </c>
      <c r="AO40" s="13">
        <f>2*(Мособлдума_одномандатный[[#This Row],[Рожнов Олег Александрович]]-(AB$124/100)*Мособлдума_одномандатный[[#This Row],[Число действительных бюллетеней]])</f>
        <v>439.23999999999995</v>
      </c>
      <c r="AP40" s="13">
        <f>(Мособлдума_одномандатный[[#This Row],[Вброс]]+Мособлдума_одномандатный[[#This Row],[Перекладывание]])/2</f>
        <v>385.99878787878788</v>
      </c>
      <c r="AQ40" s="13" t="str">
        <f>Дума_партии[[#This Row],[Зона ответственности в сен. 2022 г.]]</f>
        <v>Одинцово КПРФ</v>
      </c>
    </row>
    <row r="41" spans="2:43" x14ac:dyDescent="0.4">
      <c r="B41" t="s">
        <v>74</v>
      </c>
      <c r="C41" t="s">
        <v>207</v>
      </c>
      <c r="D41" t="s">
        <v>102</v>
      </c>
      <c r="E41" t="s">
        <v>142</v>
      </c>
      <c r="F41" s="1">
        <f t="shared" ca="1" si="12"/>
        <v>1781</v>
      </c>
      <c r="G41" s="1" t="str">
        <f>Дума_партии[[#This Row],[Местоположение]]</f>
        <v>Апрелевка</v>
      </c>
      <c r="H41">
        <v>1430</v>
      </c>
      <c r="I41" s="10">
        <f>Мособлдума_одномандатный[[#This Row],[Число избирателей, внесенных в список на момент окончания голосования]]</f>
        <v>1430</v>
      </c>
      <c r="J41">
        <v>1400</v>
      </c>
      <c r="L41">
        <v>458</v>
      </c>
      <c r="M41">
        <v>33</v>
      </c>
      <c r="N41" s="3">
        <f t="shared" si="16"/>
        <v>34.335664335664333</v>
      </c>
      <c r="O41" s="3">
        <f t="shared" si="17"/>
        <v>2.3076923076923075</v>
      </c>
      <c r="P41">
        <v>909</v>
      </c>
      <c r="Q41">
        <v>33</v>
      </c>
      <c r="R41">
        <v>458</v>
      </c>
      <c r="S41" s="1">
        <f t="shared" si="18"/>
        <v>491</v>
      </c>
      <c r="T41" s="3">
        <f t="shared" si="19"/>
        <v>6.7209775967413439</v>
      </c>
      <c r="U41">
        <v>13</v>
      </c>
      <c r="V41" s="3">
        <f t="shared" si="20"/>
        <v>2.6476578411405294</v>
      </c>
      <c r="W41">
        <v>478</v>
      </c>
      <c r="X41">
        <v>0</v>
      </c>
      <c r="Y41">
        <v>0</v>
      </c>
      <c r="Z41">
        <v>97</v>
      </c>
      <c r="AA41" s="3">
        <f t="shared" si="21"/>
        <v>19.75560081466395</v>
      </c>
      <c r="AB41">
        <v>26</v>
      </c>
      <c r="AC41" s="3">
        <f t="shared" si="22"/>
        <v>5.2953156822810588</v>
      </c>
      <c r="AD41">
        <v>33</v>
      </c>
      <c r="AE41" s="3">
        <f t="shared" si="23"/>
        <v>6.7209775967413439</v>
      </c>
      <c r="AF41">
        <v>43</v>
      </c>
      <c r="AG41" s="3">
        <f t="shared" si="24"/>
        <v>8.7576374745417507</v>
      </c>
      <c r="AH41">
        <v>31</v>
      </c>
      <c r="AI41" s="3">
        <f t="shared" si="25"/>
        <v>6.313645621181263</v>
      </c>
      <c r="AJ41">
        <v>248</v>
      </c>
      <c r="AK41" s="3">
        <f t="shared" si="26"/>
        <v>50.509164969450104</v>
      </c>
      <c r="AL41" t="s">
        <v>208</v>
      </c>
      <c r="AN41"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129.5151515151515</v>
      </c>
      <c r="AO41" s="13">
        <f>2*(Мособлдума_одномандатный[[#This Row],[Рожнов Олег Александрович]]-(AB$124/100)*Мособлдума_одномандатный[[#This Row],[Число действительных бюллетеней]])</f>
        <v>170.95999999999998</v>
      </c>
      <c r="AP41" s="13">
        <f>(Мособлдума_одномандатный[[#This Row],[Вброс]]+Мособлдума_одномандатный[[#This Row],[Перекладывание]])/2</f>
        <v>150.23757575757574</v>
      </c>
      <c r="AQ41" s="13" t="str">
        <f>Дума_партии[[#This Row],[Зона ответственности в сен. 2022 г.]]</f>
        <v>Одинцово КПРФ</v>
      </c>
    </row>
    <row r="42" spans="2:43" x14ac:dyDescent="0.4">
      <c r="B42" t="s">
        <v>74</v>
      </c>
      <c r="C42" t="s">
        <v>207</v>
      </c>
      <c r="D42" t="s">
        <v>102</v>
      </c>
      <c r="E42" t="s">
        <v>143</v>
      </c>
      <c r="F42" s="1">
        <f t="shared" ca="1" si="12"/>
        <v>1782</v>
      </c>
      <c r="G42" s="1" t="str">
        <f>Дума_партии[[#This Row],[Местоположение]]</f>
        <v>Апрелевка</v>
      </c>
      <c r="H42">
        <v>2025</v>
      </c>
      <c r="I42" s="10">
        <f>Мособлдума_одномандатный[[#This Row],[Число избирателей, внесенных в список на момент окончания голосования]]</f>
        <v>2025</v>
      </c>
      <c r="J42">
        <v>1900</v>
      </c>
      <c r="L42">
        <v>855</v>
      </c>
      <c r="M42">
        <v>12</v>
      </c>
      <c r="N42" s="3">
        <f t="shared" si="16"/>
        <v>42.814814814814817</v>
      </c>
      <c r="O42" s="3">
        <f t="shared" si="17"/>
        <v>0.59259259259259256</v>
      </c>
      <c r="P42">
        <v>1033</v>
      </c>
      <c r="Q42">
        <v>12</v>
      </c>
      <c r="R42">
        <v>855</v>
      </c>
      <c r="S42" s="1">
        <f t="shared" si="18"/>
        <v>867</v>
      </c>
      <c r="T42" s="3">
        <f t="shared" si="19"/>
        <v>1.3840830449826989</v>
      </c>
      <c r="U42">
        <v>28</v>
      </c>
      <c r="V42" s="3">
        <f t="shared" si="20"/>
        <v>3.2295271049596308</v>
      </c>
      <c r="W42">
        <v>839</v>
      </c>
      <c r="X42">
        <v>0</v>
      </c>
      <c r="Y42">
        <v>0</v>
      </c>
      <c r="Z42">
        <v>125</v>
      </c>
      <c r="AA42" s="3">
        <f t="shared" si="21"/>
        <v>14.41753171856978</v>
      </c>
      <c r="AB42">
        <v>42</v>
      </c>
      <c r="AC42" s="3">
        <f t="shared" si="22"/>
        <v>4.844290657439446</v>
      </c>
      <c r="AD42">
        <v>42</v>
      </c>
      <c r="AE42" s="3">
        <f t="shared" si="23"/>
        <v>4.844290657439446</v>
      </c>
      <c r="AF42">
        <v>97</v>
      </c>
      <c r="AG42" s="3">
        <f t="shared" si="24"/>
        <v>11.188004613610151</v>
      </c>
      <c r="AH42">
        <v>60</v>
      </c>
      <c r="AI42" s="3">
        <f t="shared" si="25"/>
        <v>6.9204152249134951</v>
      </c>
      <c r="AJ42">
        <v>473</v>
      </c>
      <c r="AK42" s="3">
        <f t="shared" si="26"/>
        <v>54.555940023068054</v>
      </c>
      <c r="AL42" t="s">
        <v>208</v>
      </c>
      <c r="AN42"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284.45454545454538</v>
      </c>
      <c r="AO42" s="13">
        <f>2*(Мособлдума_одномандатный[[#This Row],[Рожнов Олег Александрович]]-(AB$124/100)*Мособлдума_одномандатный[[#This Row],[Число действительных бюллетеней]])</f>
        <v>375.4799999999999</v>
      </c>
      <c r="AP42" s="13">
        <f>(Мособлдума_одномандатный[[#This Row],[Вброс]]+Мособлдума_одномандатный[[#This Row],[Перекладывание]])/2</f>
        <v>329.96727272727264</v>
      </c>
      <c r="AQ42" s="13" t="str">
        <f>Дума_партии[[#This Row],[Зона ответственности в сен. 2022 г.]]</f>
        <v>Одинцово КПРФ</v>
      </c>
    </row>
    <row r="43" spans="2:43" x14ac:dyDescent="0.4">
      <c r="B43" t="s">
        <v>74</v>
      </c>
      <c r="C43" t="s">
        <v>207</v>
      </c>
      <c r="D43" t="s">
        <v>102</v>
      </c>
      <c r="E43" t="s">
        <v>144</v>
      </c>
      <c r="F43" s="1">
        <f t="shared" ca="1" si="12"/>
        <v>1783</v>
      </c>
      <c r="G43" s="1" t="str">
        <f>Дума_партии[[#This Row],[Местоположение]]</f>
        <v>Апрелевка</v>
      </c>
      <c r="H43">
        <v>1033</v>
      </c>
      <c r="I43" s="10">
        <f>Мособлдума_одномандатный[[#This Row],[Число избирателей, внесенных в список на момент окончания голосования]]</f>
        <v>1033</v>
      </c>
      <c r="J43">
        <v>1000</v>
      </c>
      <c r="L43">
        <v>315</v>
      </c>
      <c r="M43">
        <v>7</v>
      </c>
      <c r="N43" s="3">
        <f t="shared" si="16"/>
        <v>31.17134559535334</v>
      </c>
      <c r="O43" s="3">
        <f t="shared" si="17"/>
        <v>0.67763794772507258</v>
      </c>
      <c r="P43">
        <v>678</v>
      </c>
      <c r="Q43">
        <v>7</v>
      </c>
      <c r="R43">
        <v>315</v>
      </c>
      <c r="S43" s="1">
        <f t="shared" si="18"/>
        <v>322</v>
      </c>
      <c r="T43" s="3">
        <f t="shared" si="19"/>
        <v>2.1739130434782608</v>
      </c>
      <c r="U43">
        <v>28</v>
      </c>
      <c r="V43" s="3">
        <f t="shared" si="20"/>
        <v>8.695652173913043</v>
      </c>
      <c r="W43">
        <v>294</v>
      </c>
      <c r="X43">
        <v>0</v>
      </c>
      <c r="Y43">
        <v>0</v>
      </c>
      <c r="Z43">
        <v>84</v>
      </c>
      <c r="AA43" s="3">
        <f t="shared" si="21"/>
        <v>26.086956521739129</v>
      </c>
      <c r="AB43">
        <v>27</v>
      </c>
      <c r="AC43" s="3">
        <f t="shared" si="22"/>
        <v>8.3850931677018625</v>
      </c>
      <c r="AD43">
        <v>32</v>
      </c>
      <c r="AE43" s="3">
        <f t="shared" si="23"/>
        <v>9.9378881987577632</v>
      </c>
      <c r="AF43">
        <v>28</v>
      </c>
      <c r="AG43" s="3">
        <f t="shared" si="24"/>
        <v>8.695652173913043</v>
      </c>
      <c r="AH43">
        <v>32</v>
      </c>
      <c r="AI43" s="3">
        <f t="shared" si="25"/>
        <v>9.9378881987577632</v>
      </c>
      <c r="AJ43">
        <v>91</v>
      </c>
      <c r="AK43" s="3">
        <f t="shared" si="26"/>
        <v>28.260869565217391</v>
      </c>
      <c r="AL43" t="s">
        <v>208</v>
      </c>
      <c r="AN43"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-13.575757575757592</v>
      </c>
      <c r="AO43" s="13">
        <f>2*(Мособлдума_одномандатный[[#This Row],[Рожнов Олег Александрович]]-(AB$124/100)*Мособлдума_одномандатный[[#This Row],[Число действительных бюллетеней]])</f>
        <v>-17.920000000000016</v>
      </c>
      <c r="AP43" s="13">
        <f>(Мособлдума_одномандатный[[#This Row],[Вброс]]+Мособлдума_одномандатный[[#This Row],[Перекладывание]])/2</f>
        <v>-15.747878787878804</v>
      </c>
      <c r="AQ43" s="13" t="str">
        <f>Дума_партии[[#This Row],[Зона ответственности в сен. 2022 г.]]</f>
        <v>Одинцово КПРФ</v>
      </c>
    </row>
    <row r="44" spans="2:43" x14ac:dyDescent="0.4">
      <c r="B44" t="s">
        <v>74</v>
      </c>
      <c r="C44" t="s">
        <v>207</v>
      </c>
      <c r="D44" t="s">
        <v>102</v>
      </c>
      <c r="E44" t="s">
        <v>145</v>
      </c>
      <c r="F44" s="1">
        <f t="shared" ca="1" si="12"/>
        <v>1784</v>
      </c>
      <c r="G44" s="1" t="str">
        <f>Дума_партии[[#This Row],[Местоположение]]</f>
        <v>Апрелевка</v>
      </c>
      <c r="H44">
        <v>1119</v>
      </c>
      <c r="I44" s="10">
        <f>Мособлдума_одномандатный[[#This Row],[Число избирателей, внесенных в список на момент окончания голосования]]</f>
        <v>1119</v>
      </c>
      <c r="J44">
        <v>1100</v>
      </c>
      <c r="L44">
        <v>643</v>
      </c>
      <c r="M44">
        <v>18</v>
      </c>
      <c r="N44" s="3">
        <f t="shared" si="16"/>
        <v>59.070598748882929</v>
      </c>
      <c r="O44" s="3">
        <f t="shared" si="17"/>
        <v>1.6085790884718498</v>
      </c>
      <c r="P44">
        <v>439</v>
      </c>
      <c r="Q44">
        <v>18</v>
      </c>
      <c r="R44">
        <v>643</v>
      </c>
      <c r="S44" s="1">
        <f t="shared" si="18"/>
        <v>661</v>
      </c>
      <c r="T44" s="3">
        <f t="shared" si="19"/>
        <v>2.7231467473524962</v>
      </c>
      <c r="U44">
        <v>37</v>
      </c>
      <c r="V44" s="3">
        <f t="shared" si="20"/>
        <v>5.5975794251134641</v>
      </c>
      <c r="W44">
        <v>624</v>
      </c>
      <c r="X44">
        <v>0</v>
      </c>
      <c r="Y44">
        <v>0</v>
      </c>
      <c r="Z44">
        <v>97</v>
      </c>
      <c r="AA44" s="3">
        <f t="shared" si="21"/>
        <v>14.674735249621785</v>
      </c>
      <c r="AB44">
        <v>16</v>
      </c>
      <c r="AC44" s="3">
        <f t="shared" si="22"/>
        <v>2.4205748865355523</v>
      </c>
      <c r="AD44">
        <v>48</v>
      </c>
      <c r="AE44" s="3">
        <f t="shared" si="23"/>
        <v>7.2617246596066565</v>
      </c>
      <c r="AF44">
        <v>50</v>
      </c>
      <c r="AG44" s="3">
        <f t="shared" si="24"/>
        <v>7.5642965204236008</v>
      </c>
      <c r="AH44">
        <v>44</v>
      </c>
      <c r="AI44" s="3">
        <f t="shared" si="25"/>
        <v>6.6565809379727687</v>
      </c>
      <c r="AJ44">
        <v>369</v>
      </c>
      <c r="AK44" s="3">
        <f t="shared" si="26"/>
        <v>55.824508320726174</v>
      </c>
      <c r="AL44" t="s">
        <v>208</v>
      </c>
      <c r="AN44"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237.6363636363636</v>
      </c>
      <c r="AO44" s="13">
        <f>2*(Мособлдума_одномандатный[[#This Row],[Рожнов Олег Александрович]]-(AB$124/100)*Мособлдума_одномандатный[[#This Row],[Число действительных бюллетеней]])</f>
        <v>313.67999999999995</v>
      </c>
      <c r="AP44" s="13">
        <f>(Мособлдума_одномандатный[[#This Row],[Вброс]]+Мособлдума_одномандатный[[#This Row],[Перекладывание]])/2</f>
        <v>275.65818181818179</v>
      </c>
      <c r="AQ44" s="13" t="str">
        <f>Дума_партии[[#This Row],[Зона ответственности в сен. 2022 г.]]</f>
        <v>Одинцово КПРФ</v>
      </c>
    </row>
    <row r="45" spans="2:43" x14ac:dyDescent="0.4">
      <c r="B45" t="s">
        <v>74</v>
      </c>
      <c r="C45" t="s">
        <v>207</v>
      </c>
      <c r="D45" t="s">
        <v>102</v>
      </c>
      <c r="E45" t="s">
        <v>146</v>
      </c>
      <c r="F45" s="1">
        <f t="shared" ca="1" si="12"/>
        <v>1785</v>
      </c>
      <c r="G45" s="1" t="str">
        <f>Дума_партии[[#This Row],[Местоположение]]</f>
        <v>Апрелевка</v>
      </c>
      <c r="H45">
        <v>1760</v>
      </c>
      <c r="I45" s="10">
        <f>Мособлдума_одномандатный[[#This Row],[Число избирателей, внесенных в список на момент окончания голосования]]</f>
        <v>1760</v>
      </c>
      <c r="J45">
        <v>1700</v>
      </c>
      <c r="L45">
        <v>646</v>
      </c>
      <c r="M45">
        <v>10</v>
      </c>
      <c r="N45" s="3">
        <f t="shared" si="16"/>
        <v>37.272727272727273</v>
      </c>
      <c r="O45" s="3">
        <f t="shared" si="17"/>
        <v>0.56818181818181823</v>
      </c>
      <c r="P45">
        <v>1044</v>
      </c>
      <c r="Q45">
        <v>10</v>
      </c>
      <c r="R45">
        <v>646</v>
      </c>
      <c r="S45" s="1">
        <f t="shared" si="18"/>
        <v>656</v>
      </c>
      <c r="T45" s="3">
        <f t="shared" si="19"/>
        <v>1.524390243902439</v>
      </c>
      <c r="U45">
        <v>31</v>
      </c>
      <c r="V45" s="3">
        <f t="shared" si="20"/>
        <v>4.725609756097561</v>
      </c>
      <c r="W45">
        <v>625</v>
      </c>
      <c r="X45">
        <v>0</v>
      </c>
      <c r="Y45">
        <v>0</v>
      </c>
      <c r="Z45">
        <v>108</v>
      </c>
      <c r="AA45" s="3">
        <f t="shared" si="21"/>
        <v>16.463414634146343</v>
      </c>
      <c r="AB45">
        <v>37</v>
      </c>
      <c r="AC45" s="3">
        <f t="shared" si="22"/>
        <v>5.6402439024390247</v>
      </c>
      <c r="AD45">
        <v>49</v>
      </c>
      <c r="AE45" s="3">
        <f t="shared" si="23"/>
        <v>7.4695121951219514</v>
      </c>
      <c r="AF45">
        <v>62</v>
      </c>
      <c r="AG45" s="3">
        <f t="shared" si="24"/>
        <v>9.4512195121951219</v>
      </c>
      <c r="AH45">
        <v>46</v>
      </c>
      <c r="AI45" s="3">
        <f t="shared" si="25"/>
        <v>7.0121951219512191</v>
      </c>
      <c r="AJ45">
        <v>323</v>
      </c>
      <c r="AK45" s="3">
        <f t="shared" si="26"/>
        <v>49.237804878048777</v>
      </c>
      <c r="AL45" t="s">
        <v>208</v>
      </c>
      <c r="AN45"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167.42424242424241</v>
      </c>
      <c r="AO45" s="13">
        <f>2*(Мособлдума_одномандатный[[#This Row],[Рожнов Олег Александрович]]-(AB$124/100)*Мособлдума_одномандатный[[#This Row],[Число действительных бюллетеней]])</f>
        <v>220.99999999999994</v>
      </c>
      <c r="AP45" s="13">
        <f>(Мособлдума_одномандатный[[#This Row],[Вброс]]+Мособлдума_одномандатный[[#This Row],[Перекладывание]])/2</f>
        <v>194.21212121212119</v>
      </c>
      <c r="AQ45" s="13" t="str">
        <f>Дума_партии[[#This Row],[Зона ответственности в сен. 2022 г.]]</f>
        <v>Одинцово КПРФ</v>
      </c>
    </row>
    <row r="46" spans="2:43" x14ac:dyDescent="0.4">
      <c r="B46" t="s">
        <v>74</v>
      </c>
      <c r="C46" t="s">
        <v>207</v>
      </c>
      <c r="D46" t="s">
        <v>102</v>
      </c>
      <c r="E46" t="s">
        <v>147</v>
      </c>
      <c r="F46" s="1">
        <f t="shared" ca="1" si="12"/>
        <v>1786</v>
      </c>
      <c r="G46" s="1" t="str">
        <f>Дума_партии[[#This Row],[Местоположение]]</f>
        <v>Апрелевка</v>
      </c>
      <c r="H46">
        <v>1126</v>
      </c>
      <c r="I46" s="10">
        <f>Мособлдума_одномандатный[[#This Row],[Число избирателей, внесенных в список на момент окончания голосования]]</f>
        <v>1126</v>
      </c>
      <c r="J46">
        <v>1100</v>
      </c>
      <c r="L46">
        <v>325</v>
      </c>
      <c r="M46">
        <v>11</v>
      </c>
      <c r="N46" s="3">
        <f t="shared" si="16"/>
        <v>29.840142095914743</v>
      </c>
      <c r="O46" s="3">
        <f t="shared" si="17"/>
        <v>0.9769094138543517</v>
      </c>
      <c r="P46">
        <v>764</v>
      </c>
      <c r="Q46">
        <v>11</v>
      </c>
      <c r="R46">
        <v>325</v>
      </c>
      <c r="S46" s="1">
        <f t="shared" si="18"/>
        <v>336</v>
      </c>
      <c r="T46" s="3">
        <f t="shared" si="19"/>
        <v>3.2738095238095237</v>
      </c>
      <c r="U46">
        <v>11</v>
      </c>
      <c r="V46" s="3">
        <f t="shared" si="20"/>
        <v>3.2738095238095237</v>
      </c>
      <c r="W46">
        <v>325</v>
      </c>
      <c r="X46">
        <v>0</v>
      </c>
      <c r="Y46">
        <v>0</v>
      </c>
      <c r="Z46">
        <v>46</v>
      </c>
      <c r="AA46" s="3">
        <f t="shared" si="21"/>
        <v>13.69047619047619</v>
      </c>
      <c r="AB46">
        <v>31</v>
      </c>
      <c r="AC46" s="3">
        <f t="shared" si="22"/>
        <v>9.2261904761904763</v>
      </c>
      <c r="AD46">
        <v>39</v>
      </c>
      <c r="AE46" s="3">
        <f t="shared" si="23"/>
        <v>11.607142857142858</v>
      </c>
      <c r="AF46">
        <v>38</v>
      </c>
      <c r="AG46" s="3">
        <f t="shared" si="24"/>
        <v>11.30952380952381</v>
      </c>
      <c r="AH46">
        <v>28</v>
      </c>
      <c r="AI46" s="3">
        <f t="shared" si="25"/>
        <v>8.3333333333333339</v>
      </c>
      <c r="AJ46">
        <v>143</v>
      </c>
      <c r="AK46" s="3">
        <f t="shared" si="26"/>
        <v>42.55952380952381</v>
      </c>
      <c r="AL46" t="s">
        <v>208</v>
      </c>
      <c r="AN46"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49.242424242424221</v>
      </c>
      <c r="AO46" s="13">
        <f>2*(Мособлдума_одномандатный[[#This Row],[Рожнов Олег Александрович]]-(AB$124/100)*Мособлдума_одномандатный[[#This Row],[Число действительных бюллетеней]])</f>
        <v>64.999999999999972</v>
      </c>
      <c r="AP46" s="13">
        <f>(Мособлдума_одномандатный[[#This Row],[Вброс]]+Мособлдума_одномандатный[[#This Row],[Перекладывание]])/2</f>
        <v>57.121212121212096</v>
      </c>
      <c r="AQ46" s="13" t="str">
        <f>Дума_партии[[#This Row],[Зона ответственности в сен. 2022 г.]]</f>
        <v>Одинцово КПРФ</v>
      </c>
    </row>
    <row r="47" spans="2:43" x14ac:dyDescent="0.4">
      <c r="B47" t="s">
        <v>74</v>
      </c>
      <c r="C47" t="s">
        <v>207</v>
      </c>
      <c r="D47" t="s">
        <v>102</v>
      </c>
      <c r="E47" t="s">
        <v>148</v>
      </c>
      <c r="F47" s="1">
        <f t="shared" ca="1" si="12"/>
        <v>1787</v>
      </c>
      <c r="G47" s="1" t="str">
        <f>Дума_партии[[#This Row],[Местоположение]]</f>
        <v>Апрелевка</v>
      </c>
      <c r="H47">
        <v>1446</v>
      </c>
      <c r="I47" s="10">
        <f>Мособлдума_одномандатный[[#This Row],[Число избирателей, внесенных в список на момент окончания голосования]]</f>
        <v>1446</v>
      </c>
      <c r="J47">
        <v>1400</v>
      </c>
      <c r="L47">
        <v>373</v>
      </c>
      <c r="M47">
        <v>245</v>
      </c>
      <c r="N47" s="3">
        <f t="shared" si="16"/>
        <v>42.738589211618255</v>
      </c>
      <c r="O47" s="3">
        <f t="shared" si="17"/>
        <v>16.9432918395574</v>
      </c>
      <c r="P47">
        <v>782</v>
      </c>
      <c r="Q47">
        <v>245</v>
      </c>
      <c r="R47">
        <v>373</v>
      </c>
      <c r="S47" s="1">
        <f t="shared" si="18"/>
        <v>618</v>
      </c>
      <c r="T47" s="3">
        <f t="shared" si="19"/>
        <v>39.644012944983821</v>
      </c>
      <c r="U47">
        <v>24</v>
      </c>
      <c r="V47" s="3">
        <f t="shared" si="20"/>
        <v>3.883495145631068</v>
      </c>
      <c r="W47">
        <v>594</v>
      </c>
      <c r="X47">
        <v>0</v>
      </c>
      <c r="Y47">
        <v>0</v>
      </c>
      <c r="Z47">
        <v>117</v>
      </c>
      <c r="AA47" s="3">
        <f t="shared" si="21"/>
        <v>18.932038834951456</v>
      </c>
      <c r="AB47">
        <v>31</v>
      </c>
      <c r="AC47" s="3">
        <f t="shared" si="22"/>
        <v>5.0161812297734629</v>
      </c>
      <c r="AD47">
        <v>51</v>
      </c>
      <c r="AE47" s="3">
        <f t="shared" si="23"/>
        <v>8.2524271844660202</v>
      </c>
      <c r="AF47">
        <v>38</v>
      </c>
      <c r="AG47" s="3">
        <f t="shared" si="24"/>
        <v>6.1488673139158578</v>
      </c>
      <c r="AH47">
        <v>21</v>
      </c>
      <c r="AI47" s="3">
        <f t="shared" si="25"/>
        <v>3.3980582524271843</v>
      </c>
      <c r="AJ47">
        <v>336</v>
      </c>
      <c r="AK47" s="3">
        <f t="shared" si="26"/>
        <v>54.368932038834949</v>
      </c>
      <c r="AL47" t="s">
        <v>208</v>
      </c>
      <c r="AN47"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203.09090909090907</v>
      </c>
      <c r="AO47" s="13">
        <f>2*(Мособлдума_одномандатный[[#This Row],[Рожнов Олег Александрович]]-(AB$124/100)*Мособлдума_одномандатный[[#This Row],[Число действительных бюллетеней]])</f>
        <v>268.08</v>
      </c>
      <c r="AP47" s="13">
        <f>(Мособлдума_одномандатный[[#This Row],[Вброс]]+Мособлдума_одномандатный[[#This Row],[Перекладывание]])/2</f>
        <v>235.58545454545452</v>
      </c>
      <c r="AQ47" s="13" t="str">
        <f>Дума_партии[[#This Row],[Зона ответственности в сен. 2022 г.]]</f>
        <v>Одинцово КПРФ</v>
      </c>
    </row>
    <row r="48" spans="2:43" x14ac:dyDescent="0.4">
      <c r="B48" t="s">
        <v>74</v>
      </c>
      <c r="C48" t="s">
        <v>207</v>
      </c>
      <c r="D48" t="s">
        <v>102</v>
      </c>
      <c r="E48" t="s">
        <v>149</v>
      </c>
      <c r="F48" s="1">
        <f t="shared" ca="1" si="12"/>
        <v>1788</v>
      </c>
      <c r="G48" s="1" t="str">
        <f>Дума_партии[[#This Row],[Местоположение]]</f>
        <v>Апрелевка</v>
      </c>
      <c r="H48">
        <v>1218</v>
      </c>
      <c r="I48" s="10">
        <f>Мособлдума_одномандатный[[#This Row],[Число избирателей, внесенных в список на момент окончания голосования]]</f>
        <v>1218</v>
      </c>
      <c r="J48">
        <v>1200</v>
      </c>
      <c r="L48">
        <v>406</v>
      </c>
      <c r="M48">
        <v>70</v>
      </c>
      <c r="N48" s="3">
        <f t="shared" si="16"/>
        <v>39.080459770114942</v>
      </c>
      <c r="O48" s="3">
        <f t="shared" si="17"/>
        <v>5.7471264367816088</v>
      </c>
      <c r="P48">
        <v>724</v>
      </c>
      <c r="Q48">
        <v>70</v>
      </c>
      <c r="R48">
        <v>406</v>
      </c>
      <c r="S48" s="1">
        <f t="shared" si="18"/>
        <v>476</v>
      </c>
      <c r="T48" s="3">
        <f t="shared" si="19"/>
        <v>14.705882352941176</v>
      </c>
      <c r="U48">
        <v>45</v>
      </c>
      <c r="V48" s="3">
        <f t="shared" si="20"/>
        <v>9.4537815126050422</v>
      </c>
      <c r="W48">
        <v>431</v>
      </c>
      <c r="X48">
        <v>0</v>
      </c>
      <c r="Y48">
        <v>0</v>
      </c>
      <c r="Z48">
        <v>107</v>
      </c>
      <c r="AA48" s="3">
        <f t="shared" si="21"/>
        <v>22.478991596638654</v>
      </c>
      <c r="AB48">
        <v>53</v>
      </c>
      <c r="AC48" s="3">
        <f t="shared" si="22"/>
        <v>11.134453781512605</v>
      </c>
      <c r="AD48">
        <v>52</v>
      </c>
      <c r="AE48" s="3">
        <f t="shared" si="23"/>
        <v>10.92436974789916</v>
      </c>
      <c r="AF48">
        <v>69</v>
      </c>
      <c r="AG48" s="3">
        <f t="shared" si="24"/>
        <v>14.495798319327731</v>
      </c>
      <c r="AH48">
        <v>33</v>
      </c>
      <c r="AI48" s="3">
        <f t="shared" si="25"/>
        <v>6.9327731092436977</v>
      </c>
      <c r="AJ48">
        <v>117</v>
      </c>
      <c r="AK48" s="3">
        <f t="shared" si="26"/>
        <v>24.579831932773111</v>
      </c>
      <c r="AL48" t="s">
        <v>208</v>
      </c>
      <c r="AN48"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-44.757575757575779</v>
      </c>
      <c r="AO48" s="13">
        <f>2*(Мособлдума_одномандатный[[#This Row],[Рожнов Олег Александрович]]-(AB$124/100)*Мособлдума_одномандатный[[#This Row],[Число действительных бюллетеней]])</f>
        <v>-59.080000000000041</v>
      </c>
      <c r="AP48" s="13">
        <f>(Мособлдума_одномандатный[[#This Row],[Вброс]]+Мособлдума_одномандатный[[#This Row],[Перекладывание]])/2</f>
        <v>-51.91878787878791</v>
      </c>
      <c r="AQ48" s="13" t="str">
        <f>Дума_партии[[#This Row],[Зона ответственности в сен. 2022 г.]]</f>
        <v>Одинцово КПРФ</v>
      </c>
    </row>
    <row r="49" spans="2:43" x14ac:dyDescent="0.4">
      <c r="B49" t="s">
        <v>74</v>
      </c>
      <c r="C49" t="s">
        <v>207</v>
      </c>
      <c r="D49" t="s">
        <v>102</v>
      </c>
      <c r="E49" t="s">
        <v>150</v>
      </c>
      <c r="F49" s="1">
        <f t="shared" ca="1" si="12"/>
        <v>1789</v>
      </c>
      <c r="G49" s="1" t="str">
        <f>Дума_партии[[#This Row],[Местоположение]]</f>
        <v>Апрелевка</v>
      </c>
      <c r="H49">
        <v>3186</v>
      </c>
      <c r="I49" s="10">
        <f>Мособлдума_одномандатный[[#This Row],[Число избирателей, внесенных в список на момент окончания голосования]]</f>
        <v>3186</v>
      </c>
      <c r="J49">
        <v>3000</v>
      </c>
      <c r="L49">
        <v>1114</v>
      </c>
      <c r="M49">
        <v>7</v>
      </c>
      <c r="N49" s="3">
        <f t="shared" si="16"/>
        <v>35.185185185185183</v>
      </c>
      <c r="O49" s="3">
        <f t="shared" si="17"/>
        <v>0.21971123666038919</v>
      </c>
      <c r="P49">
        <v>1879</v>
      </c>
      <c r="Q49">
        <v>7</v>
      </c>
      <c r="R49">
        <v>1114</v>
      </c>
      <c r="S49" s="1">
        <f t="shared" si="18"/>
        <v>1121</v>
      </c>
      <c r="T49" s="3">
        <f t="shared" si="19"/>
        <v>0.62444246208742193</v>
      </c>
      <c r="U49">
        <v>21</v>
      </c>
      <c r="V49" s="3">
        <f t="shared" si="20"/>
        <v>1.8733273862622659</v>
      </c>
      <c r="W49">
        <v>1100</v>
      </c>
      <c r="X49">
        <v>0</v>
      </c>
      <c r="Y49">
        <v>0</v>
      </c>
      <c r="Z49">
        <v>181</v>
      </c>
      <c r="AA49" s="3">
        <f t="shared" si="21"/>
        <v>16.146297948260482</v>
      </c>
      <c r="AB49">
        <v>60</v>
      </c>
      <c r="AC49" s="3">
        <f t="shared" si="22"/>
        <v>5.3523639607493312</v>
      </c>
      <c r="AD49">
        <v>83</v>
      </c>
      <c r="AE49" s="3">
        <f t="shared" si="23"/>
        <v>7.4041034790365741</v>
      </c>
      <c r="AF49">
        <v>115</v>
      </c>
      <c r="AG49" s="3">
        <f t="shared" si="24"/>
        <v>10.258697591436217</v>
      </c>
      <c r="AH49">
        <v>74</v>
      </c>
      <c r="AI49" s="3">
        <f t="shared" si="25"/>
        <v>6.6012488849241748</v>
      </c>
      <c r="AJ49">
        <v>587</v>
      </c>
      <c r="AK49" s="3">
        <f t="shared" si="26"/>
        <v>52.363960749330957</v>
      </c>
      <c r="AL49" t="s">
        <v>208</v>
      </c>
      <c r="AN49"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322.72727272727269</v>
      </c>
      <c r="AO49" s="13">
        <f>2*(Мособлдума_одномандатный[[#This Row],[Рожнов Олег Александрович]]-(AB$124/100)*Мособлдума_одномандатный[[#This Row],[Число действительных бюллетеней]])</f>
        <v>426</v>
      </c>
      <c r="AP49" s="13">
        <f>(Мособлдума_одномандатный[[#This Row],[Вброс]]+Мособлдума_одномандатный[[#This Row],[Перекладывание]])/2</f>
        <v>374.36363636363637</v>
      </c>
      <c r="AQ49" s="13" t="str">
        <f>Дума_партии[[#This Row],[Зона ответственности в сен. 2022 г.]]</f>
        <v>Одинцово КПРФ</v>
      </c>
    </row>
    <row r="50" spans="2:43" x14ac:dyDescent="0.4">
      <c r="B50" t="s">
        <v>74</v>
      </c>
      <c r="C50" t="s">
        <v>207</v>
      </c>
      <c r="D50" t="s">
        <v>102</v>
      </c>
      <c r="E50" t="s">
        <v>151</v>
      </c>
      <c r="F50" s="1">
        <f t="shared" ca="1" si="12"/>
        <v>1790</v>
      </c>
      <c r="G50" s="1" t="str">
        <f>Дума_партии[[#This Row],[Местоположение]]</f>
        <v>Верея</v>
      </c>
      <c r="H50">
        <v>1253</v>
      </c>
      <c r="I50" s="10">
        <f>Мособлдума_одномандатный[[#This Row],[Число избирателей, внесенных в список на момент окончания голосования]]</f>
        <v>1253</v>
      </c>
      <c r="J50">
        <v>1200</v>
      </c>
      <c r="L50">
        <v>484</v>
      </c>
      <c r="M50">
        <v>33</v>
      </c>
      <c r="N50" s="3">
        <f t="shared" si="16"/>
        <v>41.260973663208297</v>
      </c>
      <c r="O50" s="3">
        <f t="shared" si="17"/>
        <v>2.633679169992019</v>
      </c>
      <c r="P50">
        <v>683</v>
      </c>
      <c r="Q50">
        <v>33</v>
      </c>
      <c r="R50">
        <v>484</v>
      </c>
      <c r="S50" s="1">
        <f t="shared" si="18"/>
        <v>517</v>
      </c>
      <c r="T50" s="3">
        <f t="shared" si="19"/>
        <v>6.3829787234042552</v>
      </c>
      <c r="U50">
        <v>44</v>
      </c>
      <c r="V50" s="3">
        <f t="shared" si="20"/>
        <v>8.5106382978723403</v>
      </c>
      <c r="W50">
        <v>473</v>
      </c>
      <c r="X50">
        <v>0</v>
      </c>
      <c r="Y50">
        <v>0</v>
      </c>
      <c r="Z50">
        <v>142</v>
      </c>
      <c r="AA50" s="3">
        <f t="shared" si="21"/>
        <v>27.466150870406189</v>
      </c>
      <c r="AB50">
        <v>37</v>
      </c>
      <c r="AC50" s="3">
        <f t="shared" si="22"/>
        <v>7.1566731141199229</v>
      </c>
      <c r="AD50">
        <v>46</v>
      </c>
      <c r="AE50" s="3">
        <f t="shared" si="23"/>
        <v>8.8974854932301746</v>
      </c>
      <c r="AF50">
        <v>19</v>
      </c>
      <c r="AG50" s="3">
        <f t="shared" si="24"/>
        <v>3.6750483558994196</v>
      </c>
      <c r="AH50">
        <v>35</v>
      </c>
      <c r="AI50" s="3">
        <f t="shared" si="25"/>
        <v>6.7698259187620886</v>
      </c>
      <c r="AJ50">
        <v>194</v>
      </c>
      <c r="AK50" s="3">
        <f t="shared" si="26"/>
        <v>37.524177949709866</v>
      </c>
      <c r="AL50" t="s">
        <v>208</v>
      </c>
      <c r="AN50"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50.272727272727252</v>
      </c>
      <c r="AO50" s="13">
        <f>2*(Мособлдума_одномандатный[[#This Row],[Рожнов Олег Александрович]]-(AB$124/100)*Мособлдума_одномандатный[[#This Row],[Число действительных бюллетеней]])</f>
        <v>66.359999999999957</v>
      </c>
      <c r="AP50" s="13">
        <f>(Мособлдума_одномандатный[[#This Row],[Вброс]]+Мособлдума_одномандатный[[#This Row],[Перекладывание]])/2</f>
        <v>58.316363636363604</v>
      </c>
      <c r="AQ50" s="13">
        <f>Дума_партии[[#This Row],[Зона ответственности в сен. 2022 г.]]</f>
        <v>0</v>
      </c>
    </row>
    <row r="51" spans="2:43" x14ac:dyDescent="0.4">
      <c r="B51" t="s">
        <v>74</v>
      </c>
      <c r="C51" t="s">
        <v>207</v>
      </c>
      <c r="D51" t="s">
        <v>102</v>
      </c>
      <c r="E51" t="s">
        <v>152</v>
      </c>
      <c r="F51" s="1">
        <f t="shared" ca="1" si="12"/>
        <v>1791</v>
      </c>
      <c r="G51" s="1" t="str">
        <f>Дума_партии[[#This Row],[Местоположение]]</f>
        <v>Верея</v>
      </c>
      <c r="H51">
        <v>1259</v>
      </c>
      <c r="I51" s="10">
        <f>Мособлдума_одномандатный[[#This Row],[Число избирателей, внесенных в список на момент окончания голосования]]</f>
        <v>1259</v>
      </c>
      <c r="J51">
        <v>1200</v>
      </c>
      <c r="L51">
        <v>390</v>
      </c>
      <c r="M51">
        <v>43</v>
      </c>
      <c r="N51" s="3">
        <f t="shared" si="16"/>
        <v>34.392374900714856</v>
      </c>
      <c r="O51" s="3">
        <f t="shared" si="17"/>
        <v>3.415409054805401</v>
      </c>
      <c r="P51">
        <v>767</v>
      </c>
      <c r="Q51">
        <v>43</v>
      </c>
      <c r="R51">
        <v>390</v>
      </c>
      <c r="S51" s="1">
        <f t="shared" si="18"/>
        <v>433</v>
      </c>
      <c r="T51" s="3">
        <f t="shared" si="19"/>
        <v>9.9307159353348737</v>
      </c>
      <c r="U51">
        <v>37</v>
      </c>
      <c r="V51" s="3">
        <f t="shared" si="20"/>
        <v>8.5450346420323324</v>
      </c>
      <c r="W51">
        <v>396</v>
      </c>
      <c r="X51">
        <v>0</v>
      </c>
      <c r="Y51">
        <v>0</v>
      </c>
      <c r="Z51">
        <v>117</v>
      </c>
      <c r="AA51" s="3">
        <f t="shared" si="21"/>
        <v>27.020785219399539</v>
      </c>
      <c r="AB51">
        <v>39</v>
      </c>
      <c r="AC51" s="3">
        <f t="shared" si="22"/>
        <v>9.0069284064665123</v>
      </c>
      <c r="AD51">
        <v>47</v>
      </c>
      <c r="AE51" s="3">
        <f t="shared" si="23"/>
        <v>10.854503464203233</v>
      </c>
      <c r="AF51">
        <v>27</v>
      </c>
      <c r="AG51" s="3">
        <f t="shared" si="24"/>
        <v>6.2355658198614314</v>
      </c>
      <c r="AH51">
        <v>54</v>
      </c>
      <c r="AI51" s="3">
        <f t="shared" si="25"/>
        <v>12.471131639722863</v>
      </c>
      <c r="AJ51">
        <v>112</v>
      </c>
      <c r="AK51" s="3">
        <f t="shared" si="26"/>
        <v>25.866050808314089</v>
      </c>
      <c r="AL51" t="s">
        <v>208</v>
      </c>
      <c r="AN51"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-34.30303030303034</v>
      </c>
      <c r="AO51" s="13">
        <f>2*(Мособлдума_одномандатный[[#This Row],[Рожнов Олег Александрович]]-(AB$124/100)*Мособлдума_одномандатный[[#This Row],[Число действительных бюллетеней]])</f>
        <v>-45.28000000000003</v>
      </c>
      <c r="AP51" s="13">
        <f>(Мособлдума_одномандатный[[#This Row],[Вброс]]+Мособлдума_одномандатный[[#This Row],[Перекладывание]])/2</f>
        <v>-39.791515151515185</v>
      </c>
      <c r="AQ51" s="13">
        <f>Дума_партии[[#This Row],[Зона ответственности в сен. 2022 г.]]</f>
        <v>0</v>
      </c>
    </row>
    <row r="52" spans="2:43" x14ac:dyDescent="0.4">
      <c r="B52" t="s">
        <v>74</v>
      </c>
      <c r="C52" t="s">
        <v>207</v>
      </c>
      <c r="D52" t="s">
        <v>102</v>
      </c>
      <c r="E52" t="s">
        <v>153</v>
      </c>
      <c r="F52" s="1">
        <f t="shared" ca="1" si="12"/>
        <v>1792</v>
      </c>
      <c r="G52" s="1" t="str">
        <f>Дума_партии[[#This Row],[Местоположение]]</f>
        <v>Симбухово</v>
      </c>
      <c r="H52">
        <v>243</v>
      </c>
      <c r="I52" s="10">
        <f>Мособлдума_одномандатный[[#This Row],[Число избирателей, внесенных в список на момент окончания голосования]]</f>
        <v>243</v>
      </c>
      <c r="J52">
        <v>200</v>
      </c>
      <c r="L52">
        <v>62</v>
      </c>
      <c r="M52">
        <v>25</v>
      </c>
      <c r="N52" s="3">
        <f t="shared" si="16"/>
        <v>35.802469135802468</v>
      </c>
      <c r="O52" s="3">
        <f t="shared" si="17"/>
        <v>10.2880658436214</v>
      </c>
      <c r="P52">
        <v>113</v>
      </c>
      <c r="Q52">
        <v>25</v>
      </c>
      <c r="R52">
        <v>62</v>
      </c>
      <c r="S52" s="1">
        <f t="shared" si="18"/>
        <v>87</v>
      </c>
      <c r="T52" s="3">
        <f t="shared" si="19"/>
        <v>28.735632183908045</v>
      </c>
      <c r="U52">
        <v>7</v>
      </c>
      <c r="V52" s="3">
        <f t="shared" si="20"/>
        <v>8.0459770114942533</v>
      </c>
      <c r="W52">
        <v>80</v>
      </c>
      <c r="X52">
        <v>0</v>
      </c>
      <c r="Y52">
        <v>0</v>
      </c>
      <c r="Z52">
        <v>31</v>
      </c>
      <c r="AA52" s="3">
        <f t="shared" si="21"/>
        <v>35.632183908045974</v>
      </c>
      <c r="AB52">
        <v>5</v>
      </c>
      <c r="AC52" s="3">
        <f t="shared" si="22"/>
        <v>5.7471264367816088</v>
      </c>
      <c r="AD52">
        <v>7</v>
      </c>
      <c r="AE52" s="3">
        <f t="shared" si="23"/>
        <v>8.0459770114942533</v>
      </c>
      <c r="AF52">
        <v>5</v>
      </c>
      <c r="AG52" s="3">
        <f t="shared" si="24"/>
        <v>5.7471264367816088</v>
      </c>
      <c r="AH52">
        <v>6</v>
      </c>
      <c r="AI52" s="3">
        <f t="shared" si="25"/>
        <v>6.8965517241379306</v>
      </c>
      <c r="AJ52">
        <v>26</v>
      </c>
      <c r="AK52" s="3">
        <f t="shared" si="26"/>
        <v>29.885057471264368</v>
      </c>
      <c r="AL52" t="s">
        <v>208</v>
      </c>
      <c r="AN52"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-1.8181818181818237</v>
      </c>
      <c r="AO52" s="13">
        <f>2*(Мособлдума_одномандатный[[#This Row],[Рожнов Олег Александрович]]-(AB$124/100)*Мособлдума_одномандатный[[#This Row],[Число действительных бюллетеней]])</f>
        <v>-2.4000000000000057</v>
      </c>
      <c r="AP52" s="13">
        <f>(Мособлдума_одномандатный[[#This Row],[Вброс]]+Мособлдума_одномандатный[[#This Row],[Перекладывание]])/2</f>
        <v>-2.1090909090909147</v>
      </c>
      <c r="AQ52" s="13">
        <f>Дума_партии[[#This Row],[Зона ответственности в сен. 2022 г.]]</f>
        <v>0</v>
      </c>
    </row>
    <row r="53" spans="2:43" x14ac:dyDescent="0.4">
      <c r="B53" t="s">
        <v>74</v>
      </c>
      <c r="C53" t="s">
        <v>207</v>
      </c>
      <c r="D53" t="s">
        <v>102</v>
      </c>
      <c r="E53" t="s">
        <v>154</v>
      </c>
      <c r="F53" s="1">
        <f t="shared" ca="1" si="12"/>
        <v>1793</v>
      </c>
      <c r="G53" s="1" t="str">
        <f>Дума_партии[[#This Row],[Местоположение]]</f>
        <v>Рождествено</v>
      </c>
      <c r="H53">
        <v>172</v>
      </c>
      <c r="I53" s="10">
        <f>Мособлдума_одномандатный[[#This Row],[Число избирателей, внесенных в список на момент окончания голосования]]</f>
        <v>172</v>
      </c>
      <c r="J53">
        <v>150</v>
      </c>
      <c r="L53">
        <v>58</v>
      </c>
      <c r="M53">
        <v>12</v>
      </c>
      <c r="N53" s="3">
        <f t="shared" si="16"/>
        <v>40.697674418604649</v>
      </c>
      <c r="O53" s="3">
        <f t="shared" si="17"/>
        <v>6.9767441860465116</v>
      </c>
      <c r="P53">
        <v>80</v>
      </c>
      <c r="Q53">
        <v>12</v>
      </c>
      <c r="R53">
        <v>58</v>
      </c>
      <c r="S53" s="1">
        <f t="shared" si="18"/>
        <v>70</v>
      </c>
      <c r="T53" s="3">
        <f t="shared" si="19"/>
        <v>17.142857142857142</v>
      </c>
      <c r="U53">
        <v>3</v>
      </c>
      <c r="V53" s="3">
        <f t="shared" si="20"/>
        <v>4.2857142857142856</v>
      </c>
      <c r="W53">
        <v>67</v>
      </c>
      <c r="X53">
        <v>0</v>
      </c>
      <c r="Y53">
        <v>0</v>
      </c>
      <c r="Z53">
        <v>23</v>
      </c>
      <c r="AA53" s="3">
        <f t="shared" si="21"/>
        <v>32.857142857142854</v>
      </c>
      <c r="AB53">
        <v>5</v>
      </c>
      <c r="AC53" s="3">
        <f t="shared" si="22"/>
        <v>7.1428571428571432</v>
      </c>
      <c r="AD53">
        <v>12</v>
      </c>
      <c r="AE53" s="3">
        <f t="shared" si="23"/>
        <v>17.142857142857142</v>
      </c>
      <c r="AF53">
        <v>4</v>
      </c>
      <c r="AG53" s="3">
        <f t="shared" si="24"/>
        <v>5.7142857142857144</v>
      </c>
      <c r="AH53">
        <v>7</v>
      </c>
      <c r="AI53" s="3">
        <f t="shared" si="25"/>
        <v>10</v>
      </c>
      <c r="AJ53">
        <v>16</v>
      </c>
      <c r="AK53" s="3">
        <f t="shared" si="26"/>
        <v>22.857142857142858</v>
      </c>
      <c r="AL53" t="s">
        <v>208</v>
      </c>
      <c r="AN53"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-10.272727272727277</v>
      </c>
      <c r="AO53" s="13">
        <f>2*(Мособлдума_одномандатный[[#This Row],[Рожнов Олег Александрович]]-(AB$124/100)*Мособлдума_одномандатный[[#This Row],[Число действительных бюллетеней]])</f>
        <v>-13.560000000000002</v>
      </c>
      <c r="AP53" s="13">
        <f>(Мособлдума_одномандатный[[#This Row],[Вброс]]+Мособлдума_одномандатный[[#This Row],[Перекладывание]])/2</f>
        <v>-11.91636363636364</v>
      </c>
      <c r="AQ53" s="13">
        <f>Дума_партии[[#This Row],[Зона ответственности в сен. 2022 г.]]</f>
        <v>0</v>
      </c>
    </row>
    <row r="54" spans="2:43" x14ac:dyDescent="0.4">
      <c r="B54" t="s">
        <v>74</v>
      </c>
      <c r="C54" t="s">
        <v>207</v>
      </c>
      <c r="D54" t="s">
        <v>102</v>
      </c>
      <c r="E54" t="s">
        <v>155</v>
      </c>
      <c r="F54" s="1">
        <f t="shared" ca="1" si="12"/>
        <v>1794</v>
      </c>
      <c r="G54" s="1" t="str">
        <f>Дума_партии[[#This Row],[Местоположение]]</f>
        <v>Верея</v>
      </c>
      <c r="H54">
        <v>334</v>
      </c>
      <c r="I54" s="10">
        <f>Мособлдума_одномандатный[[#This Row],[Число избирателей, внесенных в список на момент окончания голосования]]</f>
        <v>334</v>
      </c>
      <c r="J54">
        <v>300</v>
      </c>
      <c r="L54">
        <v>105</v>
      </c>
      <c r="M54">
        <v>17</v>
      </c>
      <c r="N54" s="3">
        <f t="shared" si="16"/>
        <v>36.526946107784433</v>
      </c>
      <c r="O54" s="3">
        <f t="shared" si="17"/>
        <v>5.0898203592814371</v>
      </c>
      <c r="P54">
        <v>178</v>
      </c>
      <c r="Q54">
        <v>17</v>
      </c>
      <c r="R54">
        <v>105</v>
      </c>
      <c r="S54" s="1">
        <f t="shared" si="18"/>
        <v>122</v>
      </c>
      <c r="T54" s="3">
        <f t="shared" si="19"/>
        <v>13.934426229508198</v>
      </c>
      <c r="U54">
        <v>12</v>
      </c>
      <c r="V54" s="3">
        <f t="shared" si="20"/>
        <v>9.8360655737704921</v>
      </c>
      <c r="W54">
        <v>110</v>
      </c>
      <c r="X54">
        <v>0</v>
      </c>
      <c r="Y54">
        <v>0</v>
      </c>
      <c r="Z54">
        <v>38</v>
      </c>
      <c r="AA54" s="3">
        <f t="shared" si="21"/>
        <v>31.147540983606557</v>
      </c>
      <c r="AB54">
        <v>13</v>
      </c>
      <c r="AC54" s="3">
        <f t="shared" si="22"/>
        <v>10.655737704918034</v>
      </c>
      <c r="AD54">
        <v>20</v>
      </c>
      <c r="AE54" s="3">
        <f t="shared" si="23"/>
        <v>16.393442622950818</v>
      </c>
      <c r="AF54">
        <v>7</v>
      </c>
      <c r="AG54" s="3">
        <f t="shared" si="24"/>
        <v>5.7377049180327866</v>
      </c>
      <c r="AH54">
        <v>10</v>
      </c>
      <c r="AI54" s="3">
        <f t="shared" si="25"/>
        <v>8.1967213114754092</v>
      </c>
      <c r="AJ54">
        <v>22</v>
      </c>
      <c r="AK54" s="3">
        <f t="shared" si="26"/>
        <v>18.032786885245901</v>
      </c>
      <c r="AL54" t="s">
        <v>208</v>
      </c>
      <c r="AN54"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-23.333333333333343</v>
      </c>
      <c r="AO54" s="13">
        <f>2*(Мособлдума_одномандатный[[#This Row],[Рожнов Олег Александрович]]-(AB$124/100)*Мособлдума_одномандатный[[#This Row],[Число действительных бюллетеней]])</f>
        <v>-30.800000000000011</v>
      </c>
      <c r="AP54" s="13">
        <f>(Мособлдума_одномандатный[[#This Row],[Вброс]]+Мособлдума_одномандатный[[#This Row],[Перекладывание]])/2</f>
        <v>-27.066666666666677</v>
      </c>
      <c r="AQ54" s="13">
        <f>Дума_партии[[#This Row],[Зона ответственности в сен. 2022 г.]]</f>
        <v>0</v>
      </c>
    </row>
    <row r="55" spans="2:43" x14ac:dyDescent="0.4">
      <c r="B55" t="s">
        <v>74</v>
      </c>
      <c r="C55" t="s">
        <v>207</v>
      </c>
      <c r="D55" t="s">
        <v>102</v>
      </c>
      <c r="E55" t="s">
        <v>156</v>
      </c>
      <c r="F55" s="1">
        <f t="shared" ca="1" si="12"/>
        <v>1795</v>
      </c>
      <c r="G55" s="1" t="str">
        <f>Дума_партии[[#This Row],[Местоположение]]</f>
        <v>Калининец</v>
      </c>
      <c r="H55">
        <v>1576</v>
      </c>
      <c r="I55" s="10">
        <f>Мособлдума_одномандатный[[#This Row],[Число избирателей, внесенных в список на момент окончания голосования]]</f>
        <v>1576</v>
      </c>
      <c r="J55">
        <v>1500</v>
      </c>
      <c r="L55">
        <v>465</v>
      </c>
      <c r="M55">
        <v>9</v>
      </c>
      <c r="N55" s="3">
        <f t="shared" si="16"/>
        <v>30.076142131979694</v>
      </c>
      <c r="O55" s="3">
        <f t="shared" si="17"/>
        <v>0.57106598984771573</v>
      </c>
      <c r="P55">
        <v>1026</v>
      </c>
      <c r="Q55">
        <v>9</v>
      </c>
      <c r="R55">
        <v>465</v>
      </c>
      <c r="S55" s="1">
        <f t="shared" si="18"/>
        <v>474</v>
      </c>
      <c r="T55" s="3">
        <f t="shared" si="19"/>
        <v>1.8987341772151898</v>
      </c>
      <c r="U55">
        <v>26</v>
      </c>
      <c r="V55" s="3">
        <f t="shared" si="20"/>
        <v>5.4852320675105481</v>
      </c>
      <c r="W55">
        <v>448</v>
      </c>
      <c r="X55">
        <v>0</v>
      </c>
      <c r="Y55">
        <v>0</v>
      </c>
      <c r="Z55">
        <v>95</v>
      </c>
      <c r="AA55" s="3">
        <f t="shared" si="21"/>
        <v>20.042194092827003</v>
      </c>
      <c r="AB55">
        <v>29</v>
      </c>
      <c r="AC55" s="3">
        <f t="shared" si="22"/>
        <v>6.1181434599156121</v>
      </c>
      <c r="AD55">
        <v>62</v>
      </c>
      <c r="AE55" s="3">
        <f t="shared" si="23"/>
        <v>13.080168776371307</v>
      </c>
      <c r="AF55">
        <v>50</v>
      </c>
      <c r="AG55" s="3">
        <f t="shared" si="24"/>
        <v>10.548523206751055</v>
      </c>
      <c r="AH55">
        <v>46</v>
      </c>
      <c r="AI55" s="3">
        <f t="shared" si="25"/>
        <v>9.7046413502109701</v>
      </c>
      <c r="AJ55">
        <v>166</v>
      </c>
      <c r="AK55" s="3">
        <f t="shared" si="26"/>
        <v>35.021097046413502</v>
      </c>
      <c r="AL55" t="s">
        <v>208</v>
      </c>
      <c r="AN55"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20.727272727272691</v>
      </c>
      <c r="AO55" s="13">
        <f>2*(Мособлдума_одномандатный[[#This Row],[Рожнов Олег Александрович]]-(AB$124/100)*Мособлдума_одномандатный[[#This Row],[Число действительных бюллетеней]])</f>
        <v>27.359999999999957</v>
      </c>
      <c r="AP55" s="13">
        <f>(Мособлдума_одномандатный[[#This Row],[Вброс]]+Мособлдума_одномандатный[[#This Row],[Перекладывание]])/2</f>
        <v>24.043636363636324</v>
      </c>
      <c r="AQ55" s="13" t="str">
        <f>Дума_партии[[#This Row],[Зона ответственности в сен. 2022 г.]]</f>
        <v>Одинцово КПРФ</v>
      </c>
    </row>
    <row r="56" spans="2:43" x14ac:dyDescent="0.4">
      <c r="B56" t="s">
        <v>74</v>
      </c>
      <c r="C56" t="s">
        <v>207</v>
      </c>
      <c r="D56" t="s">
        <v>102</v>
      </c>
      <c r="E56" t="s">
        <v>157</v>
      </c>
      <c r="F56" s="1">
        <f t="shared" ca="1" si="12"/>
        <v>1796</v>
      </c>
      <c r="G56" s="1" t="str">
        <f>Дума_партии[[#This Row],[Местоположение]]</f>
        <v>Калининец</v>
      </c>
      <c r="H56">
        <v>1614</v>
      </c>
      <c r="I56" s="10">
        <f>Мособлдума_одномандатный[[#This Row],[Число избирателей, внесенных в список на момент окончания голосования]]</f>
        <v>1614</v>
      </c>
      <c r="J56">
        <v>1600</v>
      </c>
      <c r="L56">
        <v>547</v>
      </c>
      <c r="M56">
        <v>13</v>
      </c>
      <c r="N56" s="3">
        <f t="shared" si="16"/>
        <v>34.696406443618336</v>
      </c>
      <c r="O56" s="3">
        <f t="shared" si="17"/>
        <v>0.80545229244114003</v>
      </c>
      <c r="P56">
        <v>1040</v>
      </c>
      <c r="Q56">
        <v>13</v>
      </c>
      <c r="R56">
        <v>547</v>
      </c>
      <c r="S56" s="1">
        <f t="shared" si="18"/>
        <v>560</v>
      </c>
      <c r="T56" s="3">
        <f t="shared" si="19"/>
        <v>2.3214285714285716</v>
      </c>
      <c r="U56">
        <v>22</v>
      </c>
      <c r="V56" s="3">
        <f t="shared" si="20"/>
        <v>3.9285714285714284</v>
      </c>
      <c r="W56">
        <v>538</v>
      </c>
      <c r="X56">
        <v>0</v>
      </c>
      <c r="Y56">
        <v>0</v>
      </c>
      <c r="Z56">
        <v>123</v>
      </c>
      <c r="AA56" s="3">
        <f t="shared" si="21"/>
        <v>21.964285714285715</v>
      </c>
      <c r="AB56">
        <v>44</v>
      </c>
      <c r="AC56" s="3">
        <f t="shared" si="22"/>
        <v>7.8571428571428568</v>
      </c>
      <c r="AD56">
        <v>72</v>
      </c>
      <c r="AE56" s="3">
        <f t="shared" si="23"/>
        <v>12.857142857142858</v>
      </c>
      <c r="AF56">
        <v>48</v>
      </c>
      <c r="AG56" s="3">
        <f t="shared" si="24"/>
        <v>8.5714285714285712</v>
      </c>
      <c r="AH56">
        <v>44</v>
      </c>
      <c r="AI56" s="3">
        <f t="shared" si="25"/>
        <v>7.8571428571428568</v>
      </c>
      <c r="AJ56">
        <v>207</v>
      </c>
      <c r="AK56" s="3">
        <f t="shared" si="26"/>
        <v>36.964285714285715</v>
      </c>
      <c r="AL56" t="s">
        <v>208</v>
      </c>
      <c r="AN56"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36.484848484848442</v>
      </c>
      <c r="AO56" s="13">
        <f>2*(Мособлдума_одномандатный[[#This Row],[Рожнов Олег Александрович]]-(AB$124/100)*Мособлдума_одномандатный[[#This Row],[Число действительных бюллетеней]])</f>
        <v>48.159999999999968</v>
      </c>
      <c r="AP56" s="13">
        <f>(Мособлдума_одномандатный[[#This Row],[Вброс]]+Мособлдума_одномандатный[[#This Row],[Перекладывание]])/2</f>
        <v>42.322424242424205</v>
      </c>
      <c r="AQ56" s="13" t="str">
        <f>Дума_партии[[#This Row],[Зона ответственности в сен. 2022 г.]]</f>
        <v>Одинцово КПРФ</v>
      </c>
    </row>
    <row r="57" spans="2:43" x14ac:dyDescent="0.4">
      <c r="B57" t="s">
        <v>74</v>
      </c>
      <c r="C57" t="s">
        <v>207</v>
      </c>
      <c r="D57" t="s">
        <v>102</v>
      </c>
      <c r="E57" t="s">
        <v>158</v>
      </c>
      <c r="F57" s="1">
        <f t="shared" ca="1" si="12"/>
        <v>1797</v>
      </c>
      <c r="G57" s="1" t="str">
        <f>Дума_партии[[#This Row],[Местоположение]]</f>
        <v>Калининец</v>
      </c>
      <c r="H57">
        <v>1116</v>
      </c>
      <c r="I57" s="10">
        <f>Мособлдума_одномандатный[[#This Row],[Число избирателей, внесенных в список на момент окончания голосования]]</f>
        <v>1116</v>
      </c>
      <c r="J57">
        <v>1100</v>
      </c>
      <c r="L57">
        <v>458</v>
      </c>
      <c r="M57">
        <v>7</v>
      </c>
      <c r="N57" s="3">
        <f t="shared" si="16"/>
        <v>41.666666666666664</v>
      </c>
      <c r="O57" s="3">
        <f t="shared" si="17"/>
        <v>0.62724014336917566</v>
      </c>
      <c r="P57">
        <v>635</v>
      </c>
      <c r="Q57">
        <v>7</v>
      </c>
      <c r="R57">
        <v>458</v>
      </c>
      <c r="S57" s="1">
        <f t="shared" si="18"/>
        <v>465</v>
      </c>
      <c r="T57" s="3">
        <f t="shared" si="19"/>
        <v>1.5053763440860215</v>
      </c>
      <c r="U57">
        <v>20</v>
      </c>
      <c r="V57" s="3">
        <f t="shared" si="20"/>
        <v>4.301075268817204</v>
      </c>
      <c r="W57">
        <v>445</v>
      </c>
      <c r="X57">
        <v>0</v>
      </c>
      <c r="Y57">
        <v>0</v>
      </c>
      <c r="Z57">
        <v>90</v>
      </c>
      <c r="AA57" s="3">
        <f t="shared" si="21"/>
        <v>19.35483870967742</v>
      </c>
      <c r="AB57">
        <v>46</v>
      </c>
      <c r="AC57" s="3">
        <f t="shared" si="22"/>
        <v>9.89247311827957</v>
      </c>
      <c r="AD57">
        <v>51</v>
      </c>
      <c r="AE57" s="3">
        <f t="shared" si="23"/>
        <v>10.96774193548387</v>
      </c>
      <c r="AF57">
        <v>57</v>
      </c>
      <c r="AG57" s="3">
        <f t="shared" si="24"/>
        <v>12.258064516129032</v>
      </c>
      <c r="AH57">
        <v>44</v>
      </c>
      <c r="AI57" s="3">
        <f t="shared" si="25"/>
        <v>9.4623655913978499</v>
      </c>
      <c r="AJ57">
        <v>157</v>
      </c>
      <c r="AK57" s="3">
        <f t="shared" si="26"/>
        <v>33.763440860215056</v>
      </c>
      <c r="AL57" t="s">
        <v>208</v>
      </c>
      <c r="AN57"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8.6363636363635976</v>
      </c>
      <c r="AO57" s="13">
        <f>2*(Мособлдума_одномандатный[[#This Row],[Рожнов Олег Александрович]]-(AB$124/100)*Мособлдума_одномандатный[[#This Row],[Число действительных бюллетеней]])</f>
        <v>11.399999999999977</v>
      </c>
      <c r="AP57" s="13">
        <f>(Мособлдума_одномандатный[[#This Row],[Вброс]]+Мособлдума_одномандатный[[#This Row],[Перекладывание]])/2</f>
        <v>10.018181818181787</v>
      </c>
      <c r="AQ57" s="13" t="str">
        <f>Дума_партии[[#This Row],[Зона ответственности в сен. 2022 г.]]</f>
        <v>Одинцово КПРФ</v>
      </c>
    </row>
    <row r="58" spans="2:43" x14ac:dyDescent="0.4">
      <c r="B58" t="s">
        <v>74</v>
      </c>
      <c r="C58" t="s">
        <v>207</v>
      </c>
      <c r="D58" t="s">
        <v>102</v>
      </c>
      <c r="E58" t="s">
        <v>159</v>
      </c>
      <c r="F58" s="1">
        <f t="shared" ca="1" si="12"/>
        <v>1798</v>
      </c>
      <c r="G58" s="1" t="str">
        <f>Дума_партии[[#This Row],[Местоположение]]</f>
        <v>Калининец</v>
      </c>
      <c r="H58">
        <v>1941</v>
      </c>
      <c r="I58" s="10">
        <f>Мособлдума_одномандатный[[#This Row],[Число избирателей, внесенных в список на момент окончания голосования]]</f>
        <v>1941</v>
      </c>
      <c r="J58">
        <v>1800</v>
      </c>
      <c r="L58">
        <v>1099</v>
      </c>
      <c r="M58">
        <v>3</v>
      </c>
      <c r="N58" s="3">
        <f t="shared" si="16"/>
        <v>56.774858320453376</v>
      </c>
      <c r="O58" s="3">
        <f t="shared" si="17"/>
        <v>0.15455950540958269</v>
      </c>
      <c r="P58">
        <v>698</v>
      </c>
      <c r="Q58">
        <v>3</v>
      </c>
      <c r="R58">
        <v>1099</v>
      </c>
      <c r="S58" s="1">
        <f t="shared" si="18"/>
        <v>1102</v>
      </c>
      <c r="T58" s="3">
        <f t="shared" si="19"/>
        <v>0.27223230490018147</v>
      </c>
      <c r="U58">
        <v>22</v>
      </c>
      <c r="V58" s="3">
        <f t="shared" si="20"/>
        <v>1.9963702359346642</v>
      </c>
      <c r="W58">
        <v>1080</v>
      </c>
      <c r="X58">
        <v>0</v>
      </c>
      <c r="Y58">
        <v>0</v>
      </c>
      <c r="Z58">
        <v>164</v>
      </c>
      <c r="AA58" s="3">
        <f t="shared" si="21"/>
        <v>14.882032667876588</v>
      </c>
      <c r="AB58">
        <v>92</v>
      </c>
      <c r="AC58" s="3">
        <f t="shared" si="22"/>
        <v>8.3484573502722323</v>
      </c>
      <c r="AD58">
        <v>127</v>
      </c>
      <c r="AE58" s="3">
        <f t="shared" si="23"/>
        <v>11.524500907441016</v>
      </c>
      <c r="AF58">
        <v>119</v>
      </c>
      <c r="AG58" s="3">
        <f t="shared" si="24"/>
        <v>10.798548094373865</v>
      </c>
      <c r="AH58">
        <v>107</v>
      </c>
      <c r="AI58" s="3">
        <f t="shared" si="25"/>
        <v>9.70961887477314</v>
      </c>
      <c r="AJ58">
        <v>471</v>
      </c>
      <c r="AK58" s="3">
        <f t="shared" si="26"/>
        <v>42.740471869328495</v>
      </c>
      <c r="AL58" t="s">
        <v>208</v>
      </c>
      <c r="AN58"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157.2727272727272</v>
      </c>
      <c r="AO58" s="13">
        <f>2*(Мособлдума_одномандатный[[#This Row],[Рожнов Олег Александрович]]-(AB$124/100)*Мособлдума_одномандатный[[#This Row],[Число действительных бюллетеней]])</f>
        <v>207.59999999999991</v>
      </c>
      <c r="AP58" s="13">
        <f>(Мособлдума_одномандатный[[#This Row],[Вброс]]+Мособлдума_одномандатный[[#This Row],[Перекладывание]])/2</f>
        <v>182.43636363636355</v>
      </c>
      <c r="AQ58" s="13" t="str">
        <f>Дума_партии[[#This Row],[Зона ответственности в сен. 2022 г.]]</f>
        <v>Одинцово КПРФ</v>
      </c>
    </row>
    <row r="59" spans="2:43" x14ac:dyDescent="0.4">
      <c r="B59" t="s">
        <v>74</v>
      </c>
      <c r="C59" t="s">
        <v>207</v>
      </c>
      <c r="D59" t="s">
        <v>102</v>
      </c>
      <c r="E59" t="s">
        <v>160</v>
      </c>
      <c r="F59" s="1">
        <f t="shared" ca="1" si="12"/>
        <v>1799</v>
      </c>
      <c r="G59" s="1" t="str">
        <f>Дума_партии[[#This Row],[Местоположение]]</f>
        <v>Калининец</v>
      </c>
      <c r="H59">
        <v>1977</v>
      </c>
      <c r="I59" s="10">
        <f>Мособлдума_одномандатный[[#This Row],[Число избирателей, внесенных в список на момент окончания голосования]]</f>
        <v>1977</v>
      </c>
      <c r="J59">
        <v>1900</v>
      </c>
      <c r="L59">
        <v>1231</v>
      </c>
      <c r="M59">
        <v>9</v>
      </c>
      <c r="N59" s="3">
        <f t="shared" si="16"/>
        <v>62.721294891249364</v>
      </c>
      <c r="O59" s="3">
        <f t="shared" si="17"/>
        <v>0.45523520485584218</v>
      </c>
      <c r="P59">
        <v>660</v>
      </c>
      <c r="Q59">
        <v>9</v>
      </c>
      <c r="R59">
        <v>1231</v>
      </c>
      <c r="S59" s="1">
        <f t="shared" si="18"/>
        <v>1240</v>
      </c>
      <c r="T59" s="3">
        <f t="shared" si="19"/>
        <v>0.72580645161290325</v>
      </c>
      <c r="U59">
        <v>35</v>
      </c>
      <c r="V59" s="3">
        <f t="shared" si="20"/>
        <v>2.8225806451612905</v>
      </c>
      <c r="W59">
        <v>1205</v>
      </c>
      <c r="X59">
        <v>0</v>
      </c>
      <c r="Y59">
        <v>0</v>
      </c>
      <c r="Z59">
        <v>249</v>
      </c>
      <c r="AA59" s="3">
        <f t="shared" si="21"/>
        <v>20.080645161290324</v>
      </c>
      <c r="AB59">
        <v>102</v>
      </c>
      <c r="AC59" s="3">
        <f t="shared" si="22"/>
        <v>8.2258064516129039</v>
      </c>
      <c r="AD59">
        <v>152</v>
      </c>
      <c r="AE59" s="3">
        <f t="shared" si="23"/>
        <v>12.258064516129032</v>
      </c>
      <c r="AF59">
        <v>135</v>
      </c>
      <c r="AG59" s="3">
        <f t="shared" si="24"/>
        <v>10.887096774193548</v>
      </c>
      <c r="AH59">
        <v>142</v>
      </c>
      <c r="AI59" s="3">
        <f t="shared" si="25"/>
        <v>11.451612903225806</v>
      </c>
      <c r="AJ59">
        <v>425</v>
      </c>
      <c r="AK59" s="3">
        <f t="shared" si="26"/>
        <v>34.274193548387096</v>
      </c>
      <c r="AL59" t="s">
        <v>208</v>
      </c>
      <c r="AN59"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23.18181818181813</v>
      </c>
      <c r="AO59" s="13">
        <f>2*(Мособлдума_одномандатный[[#This Row],[Рожнов Олег Александрович]]-(AB$124/100)*Мособлдума_одномандатный[[#This Row],[Число действительных бюллетеней]])</f>
        <v>30.599999999999909</v>
      </c>
      <c r="AP59" s="13">
        <f>(Мособлдума_одномандатный[[#This Row],[Вброс]]+Мособлдума_одномандатный[[#This Row],[Перекладывание]])/2</f>
        <v>26.89090909090902</v>
      </c>
      <c r="AQ59" s="13" t="str">
        <f>Дума_партии[[#This Row],[Зона ответственности в сен. 2022 г.]]</f>
        <v>Одинцово КПРФ</v>
      </c>
    </row>
    <row r="60" spans="2:43" x14ac:dyDescent="0.4">
      <c r="B60" t="s">
        <v>74</v>
      </c>
      <c r="C60" t="s">
        <v>207</v>
      </c>
      <c r="D60" t="s">
        <v>102</v>
      </c>
      <c r="E60" t="s">
        <v>161</v>
      </c>
      <c r="F60" s="1">
        <f t="shared" ca="1" si="12"/>
        <v>1800</v>
      </c>
      <c r="G60" s="1" t="str">
        <f>Дума_партии[[#This Row],[Местоположение]]</f>
        <v>Калининец</v>
      </c>
      <c r="H60">
        <v>1599</v>
      </c>
      <c r="I60" s="10">
        <f>Мособлдума_одномандатный[[#This Row],[Число избирателей, внесенных в список на момент окончания голосования]]</f>
        <v>1599</v>
      </c>
      <c r="J60">
        <v>2200</v>
      </c>
      <c r="L60">
        <v>1265</v>
      </c>
      <c r="M60">
        <v>10</v>
      </c>
      <c r="N60" s="3">
        <f t="shared" si="16"/>
        <v>79.737335834896811</v>
      </c>
      <c r="O60" s="3">
        <f t="shared" si="17"/>
        <v>0.62539086929330834</v>
      </c>
      <c r="P60">
        <v>925</v>
      </c>
      <c r="Q60">
        <v>10</v>
      </c>
      <c r="R60">
        <v>1265</v>
      </c>
      <c r="S60" s="1">
        <f t="shared" si="18"/>
        <v>1275</v>
      </c>
      <c r="T60" s="3">
        <f t="shared" si="19"/>
        <v>0.78431372549019607</v>
      </c>
      <c r="U60">
        <v>72</v>
      </c>
      <c r="V60" s="3">
        <f t="shared" si="20"/>
        <v>5.6470588235294121</v>
      </c>
      <c r="W60">
        <v>1203</v>
      </c>
      <c r="X60">
        <v>0</v>
      </c>
      <c r="Y60">
        <v>0</v>
      </c>
      <c r="Z60">
        <v>191</v>
      </c>
      <c r="AA60" s="3">
        <f t="shared" si="21"/>
        <v>14.980392156862745</v>
      </c>
      <c r="AB60">
        <v>101</v>
      </c>
      <c r="AC60" s="3">
        <f t="shared" si="22"/>
        <v>7.9215686274509807</v>
      </c>
      <c r="AD60">
        <v>110</v>
      </c>
      <c r="AE60" s="3">
        <f t="shared" si="23"/>
        <v>8.6274509803921564</v>
      </c>
      <c r="AF60">
        <v>102</v>
      </c>
      <c r="AG60" s="3">
        <f t="shared" si="24"/>
        <v>8</v>
      </c>
      <c r="AH60">
        <v>153</v>
      </c>
      <c r="AI60" s="3">
        <f t="shared" si="25"/>
        <v>12</v>
      </c>
      <c r="AJ60">
        <v>546</v>
      </c>
      <c r="AK60" s="3">
        <f t="shared" si="26"/>
        <v>42.823529411764703</v>
      </c>
      <c r="AL60" t="s">
        <v>208</v>
      </c>
      <c r="AN60"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207.5454545454545</v>
      </c>
      <c r="AO60" s="13">
        <f>2*(Мособлдума_одномандатный[[#This Row],[Рожнов Олег Александрович]]-(AB$124/100)*Мособлдума_одномандатный[[#This Row],[Число действительных бюллетеней]])</f>
        <v>273.95999999999992</v>
      </c>
      <c r="AP60" s="13">
        <f>(Мособлдума_одномандатный[[#This Row],[Вброс]]+Мособлдума_одномандатный[[#This Row],[Перекладывание]])/2</f>
        <v>240.75272727272721</v>
      </c>
      <c r="AQ60" s="13" t="str">
        <f>Дума_партии[[#This Row],[Зона ответственности в сен. 2022 г.]]</f>
        <v>Одинцово КПРФ</v>
      </c>
    </row>
    <row r="61" spans="2:43" x14ac:dyDescent="0.4">
      <c r="B61" t="s">
        <v>74</v>
      </c>
      <c r="C61" t="s">
        <v>207</v>
      </c>
      <c r="D61" t="s">
        <v>102</v>
      </c>
      <c r="E61" t="s">
        <v>162</v>
      </c>
      <c r="F61" s="1">
        <f t="shared" ca="1" si="12"/>
        <v>1801</v>
      </c>
      <c r="G61" s="1" t="str">
        <f>Дума_партии[[#This Row],[Местоположение]]</f>
        <v>Петровское</v>
      </c>
      <c r="H61">
        <v>1295</v>
      </c>
      <c r="I61" s="10">
        <f>Мособлдума_одномандатный[[#This Row],[Число избирателей, внесенных в список на момент окончания голосования]]</f>
        <v>1295</v>
      </c>
      <c r="J61">
        <v>1200</v>
      </c>
      <c r="L61">
        <v>297</v>
      </c>
      <c r="M61">
        <v>21</v>
      </c>
      <c r="N61" s="3">
        <f t="shared" si="16"/>
        <v>24.555984555984555</v>
      </c>
      <c r="O61" s="3">
        <f t="shared" si="17"/>
        <v>1.6216216216216217</v>
      </c>
      <c r="P61">
        <v>882</v>
      </c>
      <c r="Q61">
        <v>21</v>
      </c>
      <c r="R61">
        <v>297</v>
      </c>
      <c r="S61" s="1">
        <f t="shared" si="18"/>
        <v>318</v>
      </c>
      <c r="T61" s="3">
        <f t="shared" si="19"/>
        <v>6.6037735849056602</v>
      </c>
      <c r="U61">
        <v>24</v>
      </c>
      <c r="V61" s="3">
        <f t="shared" si="20"/>
        <v>7.5471698113207548</v>
      </c>
      <c r="W61">
        <v>294</v>
      </c>
      <c r="X61">
        <v>0</v>
      </c>
      <c r="Y61">
        <v>0</v>
      </c>
      <c r="Z61">
        <v>89</v>
      </c>
      <c r="AA61" s="3">
        <f t="shared" si="21"/>
        <v>27.987421383647799</v>
      </c>
      <c r="AB61">
        <v>20</v>
      </c>
      <c r="AC61" s="3">
        <f t="shared" si="22"/>
        <v>6.2893081761006293</v>
      </c>
      <c r="AD61">
        <v>47</v>
      </c>
      <c r="AE61" s="3">
        <f t="shared" si="23"/>
        <v>14.779874213836479</v>
      </c>
      <c r="AF61">
        <v>37</v>
      </c>
      <c r="AG61" s="3">
        <f t="shared" si="24"/>
        <v>11.635220125786164</v>
      </c>
      <c r="AH61">
        <v>18</v>
      </c>
      <c r="AI61" s="3">
        <f t="shared" si="25"/>
        <v>5.6603773584905657</v>
      </c>
      <c r="AJ61">
        <v>83</v>
      </c>
      <c r="AK61" s="3">
        <f t="shared" si="26"/>
        <v>26.10062893081761</v>
      </c>
      <c r="AL61" t="s">
        <v>208</v>
      </c>
      <c r="AN61"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-25.696969696969717</v>
      </c>
      <c r="AO61" s="13">
        <f>2*(Мособлдума_одномандатный[[#This Row],[Рожнов Олег Александрович]]-(AB$124/100)*Мособлдума_одномандатный[[#This Row],[Число действительных бюллетеней]])</f>
        <v>-33.920000000000016</v>
      </c>
      <c r="AP61" s="13">
        <f>(Мособлдума_одномандатный[[#This Row],[Вброс]]+Мособлдума_одномандатный[[#This Row],[Перекладывание]])/2</f>
        <v>-29.808484848484866</v>
      </c>
      <c r="AQ61" s="13" t="str">
        <f>Дума_партии[[#This Row],[Зона ответственности в сен. 2022 г.]]</f>
        <v>Одинцово КПРФ</v>
      </c>
    </row>
    <row r="62" spans="2:43" x14ac:dyDescent="0.4">
      <c r="B62" t="s">
        <v>74</v>
      </c>
      <c r="C62" t="s">
        <v>207</v>
      </c>
      <c r="D62" t="s">
        <v>102</v>
      </c>
      <c r="E62" t="s">
        <v>163</v>
      </c>
      <c r="F62" s="1">
        <f t="shared" ca="1" si="12"/>
        <v>1802</v>
      </c>
      <c r="G62" s="1" t="str">
        <f>Дума_партии[[#This Row],[Местоположение]]</f>
        <v>Калининец</v>
      </c>
      <c r="H62">
        <v>1125</v>
      </c>
      <c r="I62" s="10">
        <f>Мособлдума_одномандатный[[#This Row],[Число избирателей, внесенных в список на момент окончания голосования]]</f>
        <v>1125</v>
      </c>
      <c r="J62">
        <v>1100</v>
      </c>
      <c r="L62">
        <v>326</v>
      </c>
      <c r="M62">
        <v>64</v>
      </c>
      <c r="N62" s="3">
        <f t="shared" si="16"/>
        <v>34.666666666666664</v>
      </c>
      <c r="O62" s="3">
        <f t="shared" si="17"/>
        <v>5.6888888888888891</v>
      </c>
      <c r="P62">
        <v>710</v>
      </c>
      <c r="Q62">
        <v>64</v>
      </c>
      <c r="R62">
        <v>326</v>
      </c>
      <c r="S62" s="1">
        <f t="shared" si="18"/>
        <v>390</v>
      </c>
      <c r="T62" s="3">
        <f t="shared" si="19"/>
        <v>16.410256410256409</v>
      </c>
      <c r="U62">
        <v>42</v>
      </c>
      <c r="V62" s="3">
        <f t="shared" si="20"/>
        <v>10.76923076923077</v>
      </c>
      <c r="W62">
        <v>348</v>
      </c>
      <c r="X62">
        <v>0</v>
      </c>
      <c r="Y62">
        <v>0</v>
      </c>
      <c r="Z62">
        <v>98</v>
      </c>
      <c r="AA62" s="3">
        <f t="shared" si="21"/>
        <v>25.128205128205128</v>
      </c>
      <c r="AB62">
        <v>27</v>
      </c>
      <c r="AC62" s="3">
        <f t="shared" si="22"/>
        <v>6.9230769230769234</v>
      </c>
      <c r="AD62">
        <v>34</v>
      </c>
      <c r="AE62" s="3">
        <f t="shared" si="23"/>
        <v>8.7179487179487172</v>
      </c>
      <c r="AF62">
        <v>57</v>
      </c>
      <c r="AG62" s="3">
        <f t="shared" si="24"/>
        <v>14.615384615384615</v>
      </c>
      <c r="AH62">
        <v>41</v>
      </c>
      <c r="AI62" s="3">
        <f t="shared" si="25"/>
        <v>10.512820512820513</v>
      </c>
      <c r="AJ62">
        <v>91</v>
      </c>
      <c r="AK62" s="3">
        <f t="shared" si="26"/>
        <v>23.333333333333332</v>
      </c>
      <c r="AL62" t="s">
        <v>208</v>
      </c>
      <c r="AN62"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-41.393939393939405</v>
      </c>
      <c r="AO62" s="13">
        <f>2*(Мособлдума_одномандатный[[#This Row],[Рожнов Олег Александрович]]-(AB$124/100)*Мособлдума_одномандатный[[#This Row],[Число действительных бюллетеней]])</f>
        <v>-54.640000000000015</v>
      </c>
      <c r="AP62" s="13">
        <f>(Мособлдума_одномандатный[[#This Row],[Вброс]]+Мособлдума_одномандатный[[#This Row],[Перекладывание]])/2</f>
        <v>-48.01696969696971</v>
      </c>
      <c r="AQ62" s="13" t="str">
        <f>Дума_партии[[#This Row],[Зона ответственности в сен. 2022 г.]]</f>
        <v>Одинцово КПРФ</v>
      </c>
    </row>
    <row r="63" spans="2:43" x14ac:dyDescent="0.4">
      <c r="B63" t="s">
        <v>74</v>
      </c>
      <c r="C63" t="s">
        <v>207</v>
      </c>
      <c r="D63" t="s">
        <v>102</v>
      </c>
      <c r="E63" t="s">
        <v>164</v>
      </c>
      <c r="F63" s="1">
        <f t="shared" ca="1" si="12"/>
        <v>1803</v>
      </c>
      <c r="G63" s="1" t="str">
        <f>Дума_партии[[#This Row],[Местоположение]]</f>
        <v>Калининец</v>
      </c>
      <c r="H63">
        <v>647</v>
      </c>
      <c r="I63" s="10">
        <f>Мособлдума_одномандатный[[#This Row],[Число избирателей, внесенных в список на момент окончания голосования]]</f>
        <v>647</v>
      </c>
      <c r="J63">
        <v>1100</v>
      </c>
      <c r="L63">
        <v>643</v>
      </c>
      <c r="M63">
        <v>4</v>
      </c>
      <c r="N63" s="3">
        <f t="shared" si="16"/>
        <v>100</v>
      </c>
      <c r="O63" s="3">
        <f t="shared" si="17"/>
        <v>0.61823802163833075</v>
      </c>
      <c r="P63">
        <v>453</v>
      </c>
      <c r="Q63">
        <v>4</v>
      </c>
      <c r="R63">
        <v>643</v>
      </c>
      <c r="S63" s="1">
        <f t="shared" si="18"/>
        <v>647</v>
      </c>
      <c r="T63" s="3">
        <f t="shared" si="19"/>
        <v>0.61823802163833075</v>
      </c>
      <c r="U63">
        <v>32</v>
      </c>
      <c r="V63" s="3">
        <f t="shared" si="20"/>
        <v>4.945904173106646</v>
      </c>
      <c r="W63">
        <v>615</v>
      </c>
      <c r="X63">
        <v>0</v>
      </c>
      <c r="Y63">
        <v>0</v>
      </c>
      <c r="Z63">
        <v>89</v>
      </c>
      <c r="AA63" s="3">
        <f t="shared" si="21"/>
        <v>13.755795981452859</v>
      </c>
      <c r="AB63">
        <v>34</v>
      </c>
      <c r="AC63" s="3">
        <f t="shared" si="22"/>
        <v>5.255023183925811</v>
      </c>
      <c r="AD63">
        <v>35</v>
      </c>
      <c r="AE63" s="3">
        <f t="shared" si="23"/>
        <v>5.4095826893353944</v>
      </c>
      <c r="AF63">
        <v>32</v>
      </c>
      <c r="AG63" s="3">
        <f t="shared" si="24"/>
        <v>4.945904173106646</v>
      </c>
      <c r="AH63">
        <v>30</v>
      </c>
      <c r="AI63" s="3">
        <f t="shared" si="25"/>
        <v>4.6367851622874809</v>
      </c>
      <c r="AJ63">
        <v>395</v>
      </c>
      <c r="AK63" s="3">
        <f t="shared" si="26"/>
        <v>61.051004636785166</v>
      </c>
      <c r="AL63" t="s">
        <v>208</v>
      </c>
      <c r="AN63"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281.66666666666663</v>
      </c>
      <c r="AO63" s="13">
        <f>2*(Мособлдума_одномандатный[[#This Row],[Рожнов Олег Александрович]]-(AB$124/100)*Мособлдума_одномандатный[[#This Row],[Число действительных бюллетеней]])</f>
        <v>371.79999999999995</v>
      </c>
      <c r="AP63" s="13">
        <f>(Мособлдума_одномандатный[[#This Row],[Вброс]]+Мособлдума_одномандатный[[#This Row],[Перекладывание]])/2</f>
        <v>326.73333333333329</v>
      </c>
      <c r="AQ63" s="13" t="str">
        <f>Дума_партии[[#This Row],[Зона ответственности в сен. 2022 г.]]</f>
        <v>Одинцово КПРФ</v>
      </c>
    </row>
    <row r="64" spans="2:43" x14ac:dyDescent="0.4">
      <c r="B64" t="s">
        <v>74</v>
      </c>
      <c r="C64" t="s">
        <v>207</v>
      </c>
      <c r="D64" t="s">
        <v>102</v>
      </c>
      <c r="E64" t="s">
        <v>165</v>
      </c>
      <c r="F64" s="1">
        <f t="shared" ca="1" si="12"/>
        <v>1804</v>
      </c>
      <c r="G64" s="1" t="str">
        <f>Дума_партии[[#This Row],[Местоположение]]</f>
        <v>Селятино</v>
      </c>
      <c r="H64">
        <v>1408</v>
      </c>
      <c r="I64" s="10">
        <f>Мособлдума_одномандатный[[#This Row],[Число избирателей, внесенных в список на момент окончания голосования]]</f>
        <v>1408</v>
      </c>
      <c r="J64">
        <v>1300</v>
      </c>
      <c r="L64">
        <v>476</v>
      </c>
      <c r="M64">
        <v>14</v>
      </c>
      <c r="N64" s="3">
        <f t="shared" si="16"/>
        <v>34.801136363636367</v>
      </c>
      <c r="O64" s="3">
        <f t="shared" si="17"/>
        <v>0.99431818181818177</v>
      </c>
      <c r="P64">
        <v>810</v>
      </c>
      <c r="Q64">
        <v>14</v>
      </c>
      <c r="R64">
        <v>476</v>
      </c>
      <c r="S64" s="1">
        <f t="shared" si="18"/>
        <v>490</v>
      </c>
      <c r="T64" s="3">
        <f t="shared" si="19"/>
        <v>2.8571428571428572</v>
      </c>
      <c r="U64">
        <v>39</v>
      </c>
      <c r="V64" s="3">
        <f t="shared" si="20"/>
        <v>7.9591836734693882</v>
      </c>
      <c r="W64">
        <v>451</v>
      </c>
      <c r="X64">
        <v>0</v>
      </c>
      <c r="Y64">
        <v>0</v>
      </c>
      <c r="Z64">
        <v>116</v>
      </c>
      <c r="AA64" s="3">
        <f t="shared" si="21"/>
        <v>23.673469387755102</v>
      </c>
      <c r="AB64">
        <v>33</v>
      </c>
      <c r="AC64" s="3">
        <f t="shared" si="22"/>
        <v>6.7346938775510203</v>
      </c>
      <c r="AD64">
        <v>40</v>
      </c>
      <c r="AE64" s="3">
        <f t="shared" si="23"/>
        <v>8.1632653061224492</v>
      </c>
      <c r="AF64">
        <v>110</v>
      </c>
      <c r="AG64" s="3">
        <f t="shared" si="24"/>
        <v>22.448979591836736</v>
      </c>
      <c r="AH64">
        <v>32</v>
      </c>
      <c r="AI64" s="3">
        <f t="shared" si="25"/>
        <v>6.5306122448979593</v>
      </c>
      <c r="AJ64">
        <v>120</v>
      </c>
      <c r="AK64" s="3">
        <f t="shared" si="26"/>
        <v>24.489795918367346</v>
      </c>
      <c r="AL64" t="s">
        <v>208</v>
      </c>
      <c r="AN64"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-50.515151515151558</v>
      </c>
      <c r="AO64" s="13">
        <f>2*(Мособлдума_одномандатный[[#This Row],[Рожнов Олег Александрович]]-(AB$124/100)*Мособлдума_одномандатный[[#This Row],[Число действительных бюллетеней]])</f>
        <v>-66.680000000000007</v>
      </c>
      <c r="AP64" s="13">
        <f>(Мособлдума_одномандатный[[#This Row],[Вброс]]+Мособлдума_одномандатный[[#This Row],[Перекладывание]])/2</f>
        <v>-58.597575757575783</v>
      </c>
      <c r="AQ64" s="13" t="str">
        <f>Дума_партии[[#This Row],[Зона ответственности в сен. 2022 г.]]</f>
        <v>Одинцово КПРФ</v>
      </c>
    </row>
    <row r="65" spans="2:43" x14ac:dyDescent="0.4">
      <c r="B65" t="s">
        <v>74</v>
      </c>
      <c r="C65" t="s">
        <v>207</v>
      </c>
      <c r="D65" t="s">
        <v>102</v>
      </c>
      <c r="E65" t="s">
        <v>166</v>
      </c>
      <c r="F65" s="1">
        <f t="shared" ca="1" si="12"/>
        <v>1805</v>
      </c>
      <c r="G65" s="1" t="str">
        <f>Дума_партии[[#This Row],[Местоположение]]</f>
        <v>Селятино</v>
      </c>
      <c r="H65">
        <v>1058</v>
      </c>
      <c r="I65" s="10">
        <f>Мособлдума_одномандатный[[#This Row],[Число избирателей, внесенных в список на момент окончания голосования]]</f>
        <v>1058</v>
      </c>
      <c r="J65">
        <v>1000</v>
      </c>
      <c r="L65">
        <v>375</v>
      </c>
      <c r="M65">
        <v>13</v>
      </c>
      <c r="N65" s="3">
        <f t="shared" si="16"/>
        <v>36.672967863894137</v>
      </c>
      <c r="O65" s="3">
        <f t="shared" si="17"/>
        <v>1.2287334593572778</v>
      </c>
      <c r="P65">
        <v>612</v>
      </c>
      <c r="Q65">
        <v>13</v>
      </c>
      <c r="R65">
        <v>375</v>
      </c>
      <c r="S65" s="1">
        <f t="shared" si="18"/>
        <v>388</v>
      </c>
      <c r="T65" s="3">
        <f t="shared" si="19"/>
        <v>3.3505154639175259</v>
      </c>
      <c r="U65">
        <v>23</v>
      </c>
      <c r="V65" s="3">
        <f t="shared" si="20"/>
        <v>5.927835051546392</v>
      </c>
      <c r="W65">
        <v>365</v>
      </c>
      <c r="X65">
        <v>0</v>
      </c>
      <c r="Y65">
        <v>0</v>
      </c>
      <c r="Z65">
        <v>86</v>
      </c>
      <c r="AA65" s="3">
        <f t="shared" si="21"/>
        <v>22.164948453608247</v>
      </c>
      <c r="AB65">
        <v>27</v>
      </c>
      <c r="AC65" s="3">
        <f t="shared" si="22"/>
        <v>6.9587628865979383</v>
      </c>
      <c r="AD65">
        <v>27</v>
      </c>
      <c r="AE65" s="3">
        <f t="shared" si="23"/>
        <v>6.9587628865979383</v>
      </c>
      <c r="AF65">
        <v>87</v>
      </c>
      <c r="AG65" s="3">
        <f t="shared" si="24"/>
        <v>22.422680412371133</v>
      </c>
      <c r="AH65">
        <v>20</v>
      </c>
      <c r="AI65" s="3">
        <f t="shared" si="25"/>
        <v>5.1546391752577323</v>
      </c>
      <c r="AJ65">
        <v>118</v>
      </c>
      <c r="AK65" s="3">
        <f t="shared" si="26"/>
        <v>30.412371134020617</v>
      </c>
      <c r="AL65" t="s">
        <v>208</v>
      </c>
      <c r="AN65"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-9.2424242424242635</v>
      </c>
      <c r="AO65" s="13">
        <f>2*(Мособлдума_одномандатный[[#This Row],[Рожнов Олег Александрович]]-(AB$124/100)*Мособлдума_одномандатный[[#This Row],[Число действительных бюллетеней]])</f>
        <v>-12.200000000000017</v>
      </c>
      <c r="AP65" s="13">
        <f>(Мособлдума_одномандатный[[#This Row],[Вброс]]+Мособлдума_одномандатный[[#This Row],[Перекладывание]])/2</f>
        <v>-10.72121212121214</v>
      </c>
      <c r="AQ65" s="13" t="str">
        <f>Дума_партии[[#This Row],[Зона ответственности в сен. 2022 г.]]</f>
        <v>Одинцово КПРФ</v>
      </c>
    </row>
    <row r="66" spans="2:43" x14ac:dyDescent="0.4">
      <c r="B66" t="s">
        <v>74</v>
      </c>
      <c r="C66" t="s">
        <v>207</v>
      </c>
      <c r="D66" t="s">
        <v>102</v>
      </c>
      <c r="E66" t="s">
        <v>167</v>
      </c>
      <c r="F66" s="1">
        <f t="shared" ref="F66:F97" ca="1" si="27">SUMPRODUCT(MID(0&amp;E66, LARGE(INDEX(ISNUMBER(--MID(E66, ROW(INDIRECT("1:"&amp;LEN(E66))), 1)) * ROW(INDIRECT("1:"&amp;LEN(E66))), 0), ROW(INDIRECT("1:"&amp;LEN(E66))))+1, 1) * 10^ROW(INDIRECT("1:"&amp;LEN(E66)))/10)</f>
        <v>1806</v>
      </c>
      <c r="G66" s="1" t="str">
        <f>Дума_партии[[#This Row],[Местоположение]]</f>
        <v>Селятино</v>
      </c>
      <c r="H66">
        <v>1406</v>
      </c>
      <c r="I66" s="10">
        <f>Мособлдума_одномандатный[[#This Row],[Число избирателей, внесенных в список на момент окончания голосования]]</f>
        <v>1406</v>
      </c>
      <c r="J66">
        <v>1400</v>
      </c>
      <c r="L66">
        <v>480</v>
      </c>
      <c r="M66">
        <v>4</v>
      </c>
      <c r="N66" s="3">
        <f t="shared" si="16"/>
        <v>34.423897581792318</v>
      </c>
      <c r="O66" s="3">
        <f t="shared" si="17"/>
        <v>0.28449502133712662</v>
      </c>
      <c r="P66">
        <v>916</v>
      </c>
      <c r="Q66">
        <v>4</v>
      </c>
      <c r="R66">
        <v>480</v>
      </c>
      <c r="S66" s="1">
        <f t="shared" si="18"/>
        <v>484</v>
      </c>
      <c r="T66" s="3">
        <f t="shared" si="19"/>
        <v>0.82644628099173556</v>
      </c>
      <c r="U66">
        <v>30</v>
      </c>
      <c r="V66" s="3">
        <f t="shared" si="20"/>
        <v>6.1983471074380168</v>
      </c>
      <c r="W66">
        <v>454</v>
      </c>
      <c r="X66">
        <v>0</v>
      </c>
      <c r="Y66">
        <v>0</v>
      </c>
      <c r="Z66">
        <v>120</v>
      </c>
      <c r="AA66" s="3">
        <f t="shared" si="21"/>
        <v>24.793388429752067</v>
      </c>
      <c r="AB66">
        <v>28</v>
      </c>
      <c r="AC66" s="3">
        <f t="shared" si="22"/>
        <v>5.785123966942149</v>
      </c>
      <c r="AD66">
        <v>32</v>
      </c>
      <c r="AE66" s="3">
        <f t="shared" si="23"/>
        <v>6.6115702479338845</v>
      </c>
      <c r="AF66">
        <v>87</v>
      </c>
      <c r="AG66" s="3">
        <f t="shared" si="24"/>
        <v>17.975206611570247</v>
      </c>
      <c r="AH66">
        <v>30</v>
      </c>
      <c r="AI66" s="3">
        <f t="shared" si="25"/>
        <v>6.1983471074380168</v>
      </c>
      <c r="AJ66">
        <v>157</v>
      </c>
      <c r="AK66" s="3">
        <f t="shared" si="26"/>
        <v>32.438016528925623</v>
      </c>
      <c r="AL66" t="s">
        <v>208</v>
      </c>
      <c r="AN66"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3.9999999999999716</v>
      </c>
      <c r="AO66" s="13">
        <f>2*(Мособлдума_одномандатный[[#This Row],[Рожнов Олег Александрович]]-(AB$124/100)*Мособлдума_одномандатный[[#This Row],[Число действительных бюллетеней]])</f>
        <v>5.2799999999999727</v>
      </c>
      <c r="AP66" s="13">
        <f>(Мособлдума_одномандатный[[#This Row],[Вброс]]+Мособлдума_одномандатный[[#This Row],[Перекладывание]])/2</f>
        <v>4.6399999999999721</v>
      </c>
      <c r="AQ66" s="13" t="str">
        <f>Дума_партии[[#This Row],[Зона ответственности в сен. 2022 г.]]</f>
        <v>Одинцово КПРФ</v>
      </c>
    </row>
    <row r="67" spans="2:43" x14ac:dyDescent="0.4">
      <c r="B67" t="s">
        <v>74</v>
      </c>
      <c r="C67" t="s">
        <v>207</v>
      </c>
      <c r="D67" t="s">
        <v>102</v>
      </c>
      <c r="E67" t="s">
        <v>168</v>
      </c>
      <c r="F67" s="1">
        <f t="shared" ca="1" si="27"/>
        <v>1807</v>
      </c>
      <c r="G67" s="1" t="str">
        <f>Дума_партии[[#This Row],[Местоположение]]</f>
        <v>Селятино</v>
      </c>
      <c r="H67">
        <v>1087</v>
      </c>
      <c r="I67" s="10">
        <f>Мособлдума_одномандатный[[#This Row],[Число избирателей, внесенных в список на момент окончания голосования]]</f>
        <v>1087</v>
      </c>
      <c r="J67">
        <v>1000</v>
      </c>
      <c r="L67">
        <v>431</v>
      </c>
      <c r="M67">
        <v>4</v>
      </c>
      <c r="N67" s="3">
        <f t="shared" si="16"/>
        <v>40.018399264029441</v>
      </c>
      <c r="O67" s="3">
        <f t="shared" si="17"/>
        <v>0.36798528058877644</v>
      </c>
      <c r="P67">
        <v>565</v>
      </c>
      <c r="Q67">
        <v>4</v>
      </c>
      <c r="R67">
        <v>431</v>
      </c>
      <c r="S67" s="1">
        <f t="shared" si="18"/>
        <v>435</v>
      </c>
      <c r="T67" s="3">
        <f t="shared" si="19"/>
        <v>0.91954022988505746</v>
      </c>
      <c r="U67">
        <v>25</v>
      </c>
      <c r="V67" s="3">
        <f t="shared" si="20"/>
        <v>5.7471264367816088</v>
      </c>
      <c r="W67">
        <v>410</v>
      </c>
      <c r="X67">
        <v>0</v>
      </c>
      <c r="Y67">
        <v>0</v>
      </c>
      <c r="Z67">
        <v>86</v>
      </c>
      <c r="AA67" s="3">
        <f t="shared" si="21"/>
        <v>19.770114942528735</v>
      </c>
      <c r="AB67">
        <v>31</v>
      </c>
      <c r="AC67" s="3">
        <f t="shared" si="22"/>
        <v>7.1264367816091951</v>
      </c>
      <c r="AD67">
        <v>44</v>
      </c>
      <c r="AE67" s="3">
        <f t="shared" si="23"/>
        <v>10.114942528735632</v>
      </c>
      <c r="AF67">
        <v>79</v>
      </c>
      <c r="AG67" s="3">
        <f t="shared" si="24"/>
        <v>18.160919540229884</v>
      </c>
      <c r="AH67">
        <v>29</v>
      </c>
      <c r="AI67" s="3">
        <f t="shared" si="25"/>
        <v>6.666666666666667</v>
      </c>
      <c r="AJ67">
        <v>141</v>
      </c>
      <c r="AK67" s="3">
        <f t="shared" si="26"/>
        <v>32.413793103448278</v>
      </c>
      <c r="AL67" t="s">
        <v>208</v>
      </c>
      <c r="AN67"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2.4242424242424079</v>
      </c>
      <c r="AO67" s="13">
        <f>2*(Мособлдума_одномандатный[[#This Row],[Рожнов Олег Александрович]]-(AB$124/100)*Мособлдума_одномандатный[[#This Row],[Число действительных бюллетеней]])</f>
        <v>3.1999999999999886</v>
      </c>
      <c r="AP67" s="13">
        <f>(Мособлдума_одномандатный[[#This Row],[Вброс]]+Мособлдума_одномандатный[[#This Row],[Перекладывание]])/2</f>
        <v>2.8121212121211983</v>
      </c>
      <c r="AQ67" s="13" t="str">
        <f>Дума_партии[[#This Row],[Зона ответственности в сен. 2022 г.]]</f>
        <v>Одинцово КПРФ</v>
      </c>
    </row>
    <row r="68" spans="2:43" x14ac:dyDescent="0.4">
      <c r="B68" t="s">
        <v>74</v>
      </c>
      <c r="C68" t="s">
        <v>207</v>
      </c>
      <c r="D68" t="s">
        <v>102</v>
      </c>
      <c r="E68" t="s">
        <v>169</v>
      </c>
      <c r="F68" s="1">
        <f t="shared" ca="1" si="27"/>
        <v>1808</v>
      </c>
      <c r="G68" s="1" t="str">
        <f>Дума_партии[[#This Row],[Местоположение]]</f>
        <v>Селятино</v>
      </c>
      <c r="H68">
        <v>1253</v>
      </c>
      <c r="I68" s="10">
        <f>Мособлдума_одномандатный[[#This Row],[Число избирателей, внесенных в список на момент окончания голосования]]</f>
        <v>1253</v>
      </c>
      <c r="J68">
        <v>1200</v>
      </c>
      <c r="L68">
        <v>453</v>
      </c>
      <c r="M68">
        <v>11</v>
      </c>
      <c r="N68" s="3">
        <f t="shared" si="16"/>
        <v>37.031125299281726</v>
      </c>
      <c r="O68" s="3">
        <f t="shared" si="17"/>
        <v>0.87789305666400641</v>
      </c>
      <c r="P68">
        <v>736</v>
      </c>
      <c r="Q68">
        <v>11</v>
      </c>
      <c r="R68">
        <v>453</v>
      </c>
      <c r="S68" s="1">
        <f t="shared" si="18"/>
        <v>464</v>
      </c>
      <c r="T68" s="3">
        <f t="shared" si="19"/>
        <v>2.3706896551724137</v>
      </c>
      <c r="U68">
        <v>15</v>
      </c>
      <c r="V68" s="3">
        <f t="shared" si="20"/>
        <v>3.2327586206896552</v>
      </c>
      <c r="W68">
        <v>449</v>
      </c>
      <c r="X68">
        <v>0</v>
      </c>
      <c r="Y68">
        <v>0</v>
      </c>
      <c r="Z68">
        <v>122</v>
      </c>
      <c r="AA68" s="3">
        <f t="shared" si="21"/>
        <v>26.293103448275861</v>
      </c>
      <c r="AB68">
        <v>26</v>
      </c>
      <c r="AC68" s="3">
        <f t="shared" si="22"/>
        <v>5.6034482758620694</v>
      </c>
      <c r="AD68">
        <v>40</v>
      </c>
      <c r="AE68" s="3">
        <f t="shared" si="23"/>
        <v>8.6206896551724146</v>
      </c>
      <c r="AF68">
        <v>104</v>
      </c>
      <c r="AG68" s="3">
        <f t="shared" si="24"/>
        <v>22.413793103448278</v>
      </c>
      <c r="AH68">
        <v>38</v>
      </c>
      <c r="AI68" s="3">
        <f t="shared" si="25"/>
        <v>8.1896551724137936</v>
      </c>
      <c r="AJ68">
        <v>119</v>
      </c>
      <c r="AK68" s="3">
        <f t="shared" si="26"/>
        <v>25.646551724137932</v>
      </c>
      <c r="AL68" t="s">
        <v>208</v>
      </c>
      <c r="AN68"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-51.000000000000028</v>
      </c>
      <c r="AO68" s="13">
        <f>2*(Мособлдума_одномандатный[[#This Row],[Рожнов Олег Александрович]]-(AB$124/100)*Мособлдума_одномандатный[[#This Row],[Число действительных бюллетеней]])</f>
        <v>-67.32000000000005</v>
      </c>
      <c r="AP68" s="13">
        <f>(Мособлдума_одномандатный[[#This Row],[Вброс]]+Мособлдума_одномандатный[[#This Row],[Перекладывание]])/2</f>
        <v>-59.160000000000039</v>
      </c>
      <c r="AQ68" s="13" t="str">
        <f>Дума_партии[[#This Row],[Зона ответственности в сен. 2022 г.]]</f>
        <v>Одинцово КПРФ</v>
      </c>
    </row>
    <row r="69" spans="2:43" x14ac:dyDescent="0.4">
      <c r="B69" t="s">
        <v>74</v>
      </c>
      <c r="C69" t="s">
        <v>207</v>
      </c>
      <c r="D69" t="s">
        <v>102</v>
      </c>
      <c r="E69" t="s">
        <v>170</v>
      </c>
      <c r="F69" s="1">
        <f t="shared" ca="1" si="27"/>
        <v>1809</v>
      </c>
      <c r="G69" s="1" t="str">
        <f>Дума_партии[[#This Row],[Местоположение]]</f>
        <v>Селятино</v>
      </c>
      <c r="H69">
        <v>1203</v>
      </c>
      <c r="I69" s="10">
        <f>Мособлдума_одномандатный[[#This Row],[Число избирателей, внесенных в список на момент окончания голосования]]</f>
        <v>1203</v>
      </c>
      <c r="J69">
        <v>1200</v>
      </c>
      <c r="L69">
        <v>410</v>
      </c>
      <c r="M69">
        <v>10</v>
      </c>
      <c r="N69" s="3">
        <f t="shared" si="16"/>
        <v>34.912718204488776</v>
      </c>
      <c r="O69" s="3">
        <f t="shared" si="17"/>
        <v>0.83125519534497094</v>
      </c>
      <c r="P69">
        <v>780</v>
      </c>
      <c r="Q69">
        <v>10</v>
      </c>
      <c r="R69">
        <v>410</v>
      </c>
      <c r="S69" s="1">
        <f t="shared" si="18"/>
        <v>420</v>
      </c>
      <c r="T69" s="3">
        <f t="shared" si="19"/>
        <v>2.3809523809523809</v>
      </c>
      <c r="U69">
        <v>31</v>
      </c>
      <c r="V69" s="3">
        <f t="shared" si="20"/>
        <v>7.3809523809523814</v>
      </c>
      <c r="W69">
        <v>389</v>
      </c>
      <c r="X69">
        <v>0</v>
      </c>
      <c r="Y69">
        <v>0</v>
      </c>
      <c r="Z69">
        <v>119</v>
      </c>
      <c r="AA69" s="3">
        <f t="shared" si="21"/>
        <v>28.333333333333332</v>
      </c>
      <c r="AB69">
        <v>29</v>
      </c>
      <c r="AC69" s="3">
        <f t="shared" si="22"/>
        <v>6.9047619047619051</v>
      </c>
      <c r="AD69">
        <v>42</v>
      </c>
      <c r="AE69" s="3">
        <f t="shared" si="23"/>
        <v>10</v>
      </c>
      <c r="AF69">
        <v>66</v>
      </c>
      <c r="AG69" s="3">
        <f t="shared" si="24"/>
        <v>15.714285714285714</v>
      </c>
      <c r="AH69">
        <v>23</v>
      </c>
      <c r="AI69" s="3">
        <f t="shared" si="25"/>
        <v>5.4761904761904763</v>
      </c>
      <c r="AJ69">
        <v>110</v>
      </c>
      <c r="AK69" s="3">
        <f t="shared" si="26"/>
        <v>26.19047619047619</v>
      </c>
      <c r="AL69" t="s">
        <v>208</v>
      </c>
      <c r="AN69"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-33.727272727272748</v>
      </c>
      <c r="AO69" s="13">
        <f>2*(Мособлдума_одномандатный[[#This Row],[Рожнов Олег Александрович]]-(AB$124/100)*Мособлдума_одномандатный[[#This Row],[Число действительных бюллетеней]])</f>
        <v>-44.520000000000039</v>
      </c>
      <c r="AP69" s="13">
        <f>(Мособлдума_одномандатный[[#This Row],[Вброс]]+Мособлдума_одномандатный[[#This Row],[Перекладывание]])/2</f>
        <v>-39.123636363636393</v>
      </c>
      <c r="AQ69" s="13" t="str">
        <f>Дума_партии[[#This Row],[Зона ответственности в сен. 2022 г.]]</f>
        <v>Одинцово КПРФ</v>
      </c>
    </row>
    <row r="70" spans="2:43" x14ac:dyDescent="0.4">
      <c r="B70" t="s">
        <v>74</v>
      </c>
      <c r="C70" t="s">
        <v>207</v>
      </c>
      <c r="D70" t="s">
        <v>102</v>
      </c>
      <c r="E70" t="s">
        <v>171</v>
      </c>
      <c r="F70" s="1">
        <f t="shared" ca="1" si="27"/>
        <v>1810</v>
      </c>
      <c r="G70" s="1" t="str">
        <f>Дума_партии[[#This Row],[Местоположение]]</f>
        <v>Селятино</v>
      </c>
      <c r="H70">
        <v>1269</v>
      </c>
      <c r="I70" s="10">
        <f>Мособлдума_одномандатный[[#This Row],[Число избирателей, внесенных в список на момент окончания голосования]]</f>
        <v>1269</v>
      </c>
      <c r="J70">
        <v>1200</v>
      </c>
      <c r="L70">
        <v>420</v>
      </c>
      <c r="M70">
        <v>5</v>
      </c>
      <c r="N70" s="3">
        <f t="shared" si="16"/>
        <v>33.490937746256897</v>
      </c>
      <c r="O70" s="3">
        <f t="shared" si="17"/>
        <v>0.39401103230890466</v>
      </c>
      <c r="P70">
        <v>775</v>
      </c>
      <c r="Q70">
        <v>5</v>
      </c>
      <c r="R70">
        <v>420</v>
      </c>
      <c r="S70" s="1">
        <f t="shared" si="18"/>
        <v>425</v>
      </c>
      <c r="T70" s="3">
        <f t="shared" si="19"/>
        <v>1.1764705882352942</v>
      </c>
      <c r="U70">
        <v>19</v>
      </c>
      <c r="V70" s="3">
        <f t="shared" si="20"/>
        <v>4.4705882352941178</v>
      </c>
      <c r="W70">
        <v>406</v>
      </c>
      <c r="X70">
        <v>0</v>
      </c>
      <c r="Y70">
        <v>0</v>
      </c>
      <c r="Z70">
        <v>85</v>
      </c>
      <c r="AA70" s="3">
        <f t="shared" si="21"/>
        <v>20</v>
      </c>
      <c r="AB70">
        <v>27</v>
      </c>
      <c r="AC70" s="3">
        <f t="shared" si="22"/>
        <v>6.3529411764705879</v>
      </c>
      <c r="AD70">
        <v>25</v>
      </c>
      <c r="AE70" s="3">
        <f t="shared" si="23"/>
        <v>5.882352941176471</v>
      </c>
      <c r="AF70">
        <v>73</v>
      </c>
      <c r="AG70" s="3">
        <f t="shared" si="24"/>
        <v>17.176470588235293</v>
      </c>
      <c r="AH70">
        <v>14</v>
      </c>
      <c r="AI70" s="3">
        <f t="shared" si="25"/>
        <v>3.2941176470588234</v>
      </c>
      <c r="AJ70">
        <v>182</v>
      </c>
      <c r="AK70" s="3">
        <f t="shared" si="26"/>
        <v>42.823529411764703</v>
      </c>
      <c r="AL70" t="s">
        <v>208</v>
      </c>
      <c r="AN70"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66.606060606060581</v>
      </c>
      <c r="AO70" s="13">
        <f>2*(Мособлдума_одномандатный[[#This Row],[Рожнов Олег Александрович]]-(AB$124/100)*Мособлдума_одномандатный[[#This Row],[Число действительных бюллетеней]])</f>
        <v>87.919999999999959</v>
      </c>
      <c r="AP70" s="13">
        <f>(Мособлдума_одномандатный[[#This Row],[Вброс]]+Мособлдума_одномандатный[[#This Row],[Перекладывание]])/2</f>
        <v>77.263030303030263</v>
      </c>
      <c r="AQ70" s="13" t="str">
        <f>Дума_партии[[#This Row],[Зона ответственности в сен. 2022 г.]]</f>
        <v>Одинцово КПРФ</v>
      </c>
    </row>
    <row r="71" spans="2:43" x14ac:dyDescent="0.4">
      <c r="B71" t="s">
        <v>74</v>
      </c>
      <c r="C71" t="s">
        <v>207</v>
      </c>
      <c r="D71" t="s">
        <v>102</v>
      </c>
      <c r="E71" t="s">
        <v>172</v>
      </c>
      <c r="F71" s="1">
        <f t="shared" ca="1" si="27"/>
        <v>1811</v>
      </c>
      <c r="G71" s="1" t="str">
        <f>Дума_партии[[#This Row],[Местоположение]]</f>
        <v>Селятино</v>
      </c>
      <c r="H71">
        <v>804</v>
      </c>
      <c r="I71" s="10">
        <f>Мособлдума_одномандатный[[#This Row],[Число избирателей, внесенных в список на момент окончания голосования]]</f>
        <v>804</v>
      </c>
      <c r="J71">
        <v>800</v>
      </c>
      <c r="L71">
        <v>316</v>
      </c>
      <c r="M71">
        <v>2</v>
      </c>
      <c r="N71" s="3">
        <f t="shared" si="16"/>
        <v>39.552238805970148</v>
      </c>
      <c r="O71" s="3">
        <f t="shared" si="17"/>
        <v>0.24875621890547264</v>
      </c>
      <c r="P71">
        <v>482</v>
      </c>
      <c r="Q71">
        <v>2</v>
      </c>
      <c r="R71">
        <v>316</v>
      </c>
      <c r="S71" s="1">
        <f t="shared" si="18"/>
        <v>318</v>
      </c>
      <c r="T71" s="3">
        <f t="shared" si="19"/>
        <v>0.62893081761006286</v>
      </c>
      <c r="U71">
        <v>5</v>
      </c>
      <c r="V71" s="3">
        <f t="shared" si="20"/>
        <v>1.5723270440251573</v>
      </c>
      <c r="W71">
        <v>313</v>
      </c>
      <c r="X71">
        <v>0</v>
      </c>
      <c r="Y71">
        <v>0</v>
      </c>
      <c r="Z71">
        <v>63</v>
      </c>
      <c r="AA71" s="3">
        <f t="shared" si="21"/>
        <v>19.811320754716981</v>
      </c>
      <c r="AB71">
        <v>24</v>
      </c>
      <c r="AC71" s="3">
        <f t="shared" si="22"/>
        <v>7.5471698113207548</v>
      </c>
      <c r="AD71">
        <v>22</v>
      </c>
      <c r="AE71" s="3">
        <f t="shared" si="23"/>
        <v>6.9182389937106921</v>
      </c>
      <c r="AF71">
        <v>70</v>
      </c>
      <c r="AG71" s="3">
        <f t="shared" si="24"/>
        <v>22.012578616352201</v>
      </c>
      <c r="AH71">
        <v>17</v>
      </c>
      <c r="AI71" s="3">
        <f t="shared" si="25"/>
        <v>5.3459119496855347</v>
      </c>
      <c r="AJ71">
        <v>117</v>
      </c>
      <c r="AK71" s="3">
        <f t="shared" si="26"/>
        <v>36.79245283018868</v>
      </c>
      <c r="AL71" t="s">
        <v>208</v>
      </c>
      <c r="AN71"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16.030303030303017</v>
      </c>
      <c r="AO71" s="13">
        <f>2*(Мособлдума_одномандатный[[#This Row],[Рожнов Олег Александрович]]-(AB$124/100)*Мособлдума_одномандатный[[#This Row],[Число действительных бюллетеней]])</f>
        <v>21.159999999999997</v>
      </c>
      <c r="AP71" s="13">
        <f>(Мособлдума_одномандатный[[#This Row],[Вброс]]+Мособлдума_одномандатный[[#This Row],[Перекладывание]])/2</f>
        <v>18.595151515151507</v>
      </c>
      <c r="AQ71" s="13" t="str">
        <f>Дума_партии[[#This Row],[Зона ответственности в сен. 2022 г.]]</f>
        <v>Одинцово КПРФ</v>
      </c>
    </row>
    <row r="72" spans="2:43" x14ac:dyDescent="0.4">
      <c r="B72" t="s">
        <v>74</v>
      </c>
      <c r="C72" t="s">
        <v>207</v>
      </c>
      <c r="D72" t="s">
        <v>102</v>
      </c>
      <c r="E72" t="s">
        <v>173</v>
      </c>
      <c r="F72" s="1">
        <f t="shared" ca="1" si="27"/>
        <v>1812</v>
      </c>
      <c r="G72" s="1" t="str">
        <f>Дума_партии[[#This Row],[Местоположение]]</f>
        <v>Алабино</v>
      </c>
      <c r="H72">
        <v>555</v>
      </c>
      <c r="I72" s="10">
        <f>Мособлдума_одномандатный[[#This Row],[Число избирателей, внесенных в список на момент окончания голосования]]</f>
        <v>555</v>
      </c>
      <c r="J72">
        <v>500</v>
      </c>
      <c r="L72">
        <v>145</v>
      </c>
      <c r="M72">
        <v>4</v>
      </c>
      <c r="N72" s="3">
        <f t="shared" ref="N72:N103" si="28">100*(L72+M72)/H72</f>
        <v>26.846846846846848</v>
      </c>
      <c r="O72" s="3">
        <f t="shared" ref="O72:O105" si="29">100*M72/H72</f>
        <v>0.72072072072072069</v>
      </c>
      <c r="P72">
        <v>351</v>
      </c>
      <c r="Q72">
        <v>4</v>
      </c>
      <c r="R72">
        <v>145</v>
      </c>
      <c r="S72" s="1">
        <f t="shared" ref="S72:S103" si="30">Q72+R72</f>
        <v>149</v>
      </c>
      <c r="T72" s="3">
        <f t="shared" ref="T72:T103" si="31">100*Q72/S72</f>
        <v>2.6845637583892619</v>
      </c>
      <c r="U72">
        <v>8</v>
      </c>
      <c r="V72" s="3">
        <f t="shared" ref="V72:V103" si="32">100*U72/S72</f>
        <v>5.3691275167785237</v>
      </c>
      <c r="W72">
        <v>141</v>
      </c>
      <c r="X72">
        <v>0</v>
      </c>
      <c r="Y72">
        <v>0</v>
      </c>
      <c r="Z72">
        <v>62</v>
      </c>
      <c r="AA72" s="3">
        <f t="shared" ref="AA72:AA103" si="33">100*Z72/$S72</f>
        <v>41.61073825503356</v>
      </c>
      <c r="AB72">
        <v>10</v>
      </c>
      <c r="AC72" s="3">
        <f t="shared" ref="AC72:AC103" si="34">100*AB72/$S72</f>
        <v>6.7114093959731544</v>
      </c>
      <c r="AD72">
        <v>10</v>
      </c>
      <c r="AE72" s="3">
        <f t="shared" ref="AE72:AE103" si="35">100*AD72/$S72</f>
        <v>6.7114093959731544</v>
      </c>
      <c r="AF72">
        <v>16</v>
      </c>
      <c r="AG72" s="3">
        <f t="shared" ref="AG72:AG103" si="36">100*AF72/$S72</f>
        <v>10.738255033557047</v>
      </c>
      <c r="AH72">
        <v>11</v>
      </c>
      <c r="AI72" s="3">
        <f t="shared" ref="AI72:AI103" si="37">100*AH72/$S72</f>
        <v>7.3825503355704694</v>
      </c>
      <c r="AJ72">
        <v>32</v>
      </c>
      <c r="AK72" s="3">
        <f t="shared" ref="AK72:AK103" si="38">100*AJ72/$S72</f>
        <v>21.476510067114095</v>
      </c>
      <c r="AL72" t="s">
        <v>208</v>
      </c>
      <c r="AN72"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-24.151515151515163</v>
      </c>
      <c r="AO72" s="13">
        <f>2*(Мособлдума_одномандатный[[#This Row],[Рожнов Олег Александрович]]-(AB$124/100)*Мособлдума_одномандатный[[#This Row],[Число действительных бюллетеней]])</f>
        <v>-31.88000000000001</v>
      </c>
      <c r="AP72" s="13">
        <f>(Мособлдума_одномандатный[[#This Row],[Вброс]]+Мособлдума_одномандатный[[#This Row],[Перекладывание]])/2</f>
        <v>-28.015757575757586</v>
      </c>
      <c r="AQ72" s="13" t="str">
        <f>Дума_партии[[#This Row],[Зона ответственности в сен. 2022 г.]]</f>
        <v>Одинцово КПРФ</v>
      </c>
    </row>
    <row r="73" spans="2:43" x14ac:dyDescent="0.4">
      <c r="B73" t="s">
        <v>74</v>
      </c>
      <c r="C73" t="s">
        <v>207</v>
      </c>
      <c r="D73" t="s">
        <v>102</v>
      </c>
      <c r="E73" t="s">
        <v>174</v>
      </c>
      <c r="F73" s="1">
        <f t="shared" ca="1" si="27"/>
        <v>1813</v>
      </c>
      <c r="G73" s="1" t="str">
        <f>Дума_партии[[#This Row],[Местоположение]]</f>
        <v>Софьино</v>
      </c>
      <c r="H73">
        <v>2037</v>
      </c>
      <c r="I73" s="10">
        <f>Мособлдума_одномандатный[[#This Row],[Число избирателей, внесенных в список на момент окончания голосования]]</f>
        <v>2037</v>
      </c>
      <c r="J73">
        <v>2000</v>
      </c>
      <c r="L73">
        <v>601</v>
      </c>
      <c r="M73">
        <v>60</v>
      </c>
      <c r="N73" s="3">
        <f t="shared" si="28"/>
        <v>32.449680903289149</v>
      </c>
      <c r="O73" s="3">
        <f t="shared" si="29"/>
        <v>2.9455081001472756</v>
      </c>
      <c r="P73">
        <v>1339</v>
      </c>
      <c r="Q73">
        <v>60</v>
      </c>
      <c r="R73">
        <v>600</v>
      </c>
      <c r="S73" s="1">
        <f t="shared" si="30"/>
        <v>660</v>
      </c>
      <c r="T73" s="3">
        <f t="shared" si="31"/>
        <v>9.0909090909090917</v>
      </c>
      <c r="U73">
        <v>46</v>
      </c>
      <c r="V73" s="3">
        <f t="shared" si="32"/>
        <v>6.9696969696969697</v>
      </c>
      <c r="W73">
        <v>614</v>
      </c>
      <c r="X73">
        <v>0</v>
      </c>
      <c r="Y73">
        <v>0</v>
      </c>
      <c r="Z73">
        <v>137</v>
      </c>
      <c r="AA73" s="3">
        <f t="shared" si="33"/>
        <v>20.757575757575758</v>
      </c>
      <c r="AB73">
        <v>43</v>
      </c>
      <c r="AC73" s="3">
        <f t="shared" si="34"/>
        <v>6.5151515151515156</v>
      </c>
      <c r="AD73">
        <v>71</v>
      </c>
      <c r="AE73" s="3">
        <f t="shared" si="35"/>
        <v>10.757575757575758</v>
      </c>
      <c r="AF73">
        <v>104</v>
      </c>
      <c r="AG73" s="3">
        <f t="shared" si="36"/>
        <v>15.757575757575758</v>
      </c>
      <c r="AH73">
        <v>73</v>
      </c>
      <c r="AI73" s="3">
        <f t="shared" si="37"/>
        <v>11.060606060606061</v>
      </c>
      <c r="AJ73">
        <v>186</v>
      </c>
      <c r="AK73" s="3">
        <f t="shared" si="38"/>
        <v>28.181818181818183</v>
      </c>
      <c r="AL73" t="s">
        <v>208</v>
      </c>
      <c r="AN73"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-34.484848484848527</v>
      </c>
      <c r="AO73" s="13">
        <f>2*(Мособлдума_одномандатный[[#This Row],[Рожнов Олег Александрович]]-(AB$124/100)*Мособлдума_одномандатный[[#This Row],[Число действительных бюллетеней]])</f>
        <v>-45.520000000000039</v>
      </c>
      <c r="AP73" s="13">
        <f>(Мособлдума_одномандатный[[#This Row],[Вброс]]+Мособлдума_одномандатный[[#This Row],[Перекладывание]])/2</f>
        <v>-40.002424242424283</v>
      </c>
      <c r="AQ73" s="13" t="str">
        <f>Дума_партии[[#This Row],[Зона ответственности в сен. 2022 г.]]</f>
        <v>Одинцово КПРФ</v>
      </c>
    </row>
    <row r="74" spans="2:43" x14ac:dyDescent="0.4">
      <c r="B74" t="s">
        <v>74</v>
      </c>
      <c r="C74" t="s">
        <v>207</v>
      </c>
      <c r="D74" t="s">
        <v>102</v>
      </c>
      <c r="E74" t="s">
        <v>175</v>
      </c>
      <c r="F74" s="1">
        <f t="shared" ca="1" si="27"/>
        <v>1814</v>
      </c>
      <c r="G74" s="1" t="str">
        <f>Дума_партии[[#This Row],[Местоположение]]</f>
        <v>Атепцево</v>
      </c>
      <c r="H74">
        <v>639</v>
      </c>
      <c r="I74" s="10">
        <f>Мособлдума_одномандатный[[#This Row],[Число избирателей, внесенных в список на момент окончания голосования]]</f>
        <v>639</v>
      </c>
      <c r="J74">
        <v>600</v>
      </c>
      <c r="L74">
        <v>288</v>
      </c>
      <c r="M74">
        <v>92</v>
      </c>
      <c r="N74" s="3">
        <f t="shared" si="28"/>
        <v>59.467918622848202</v>
      </c>
      <c r="O74" s="3">
        <f t="shared" si="29"/>
        <v>14.397496087636933</v>
      </c>
      <c r="P74">
        <v>220</v>
      </c>
      <c r="Q74">
        <v>92</v>
      </c>
      <c r="R74">
        <v>288</v>
      </c>
      <c r="S74" s="1">
        <f t="shared" si="30"/>
        <v>380</v>
      </c>
      <c r="T74" s="3">
        <f t="shared" si="31"/>
        <v>24.210526315789473</v>
      </c>
      <c r="U74">
        <v>24</v>
      </c>
      <c r="V74" s="3">
        <f t="shared" si="32"/>
        <v>6.3157894736842106</v>
      </c>
      <c r="W74">
        <v>356</v>
      </c>
      <c r="X74">
        <v>0</v>
      </c>
      <c r="Y74">
        <v>0</v>
      </c>
      <c r="Z74">
        <v>46</v>
      </c>
      <c r="AA74" s="3">
        <f t="shared" si="33"/>
        <v>12.105263157894736</v>
      </c>
      <c r="AB74">
        <v>17</v>
      </c>
      <c r="AC74" s="3">
        <f t="shared" si="34"/>
        <v>4.4736842105263159</v>
      </c>
      <c r="AD74">
        <v>17</v>
      </c>
      <c r="AE74" s="3">
        <f t="shared" si="35"/>
        <v>4.4736842105263159</v>
      </c>
      <c r="AF74">
        <v>12</v>
      </c>
      <c r="AG74" s="3">
        <f t="shared" si="36"/>
        <v>3.1578947368421053</v>
      </c>
      <c r="AH74">
        <v>27</v>
      </c>
      <c r="AI74" s="3">
        <f t="shared" si="37"/>
        <v>7.1052631578947372</v>
      </c>
      <c r="AJ74">
        <v>237</v>
      </c>
      <c r="AK74" s="3">
        <f t="shared" si="38"/>
        <v>62.368421052631582</v>
      </c>
      <c r="AL74" t="s">
        <v>208</v>
      </c>
      <c r="AN74"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175.69696969696969</v>
      </c>
      <c r="AO74" s="13">
        <f>2*(Мособлдума_одномандатный[[#This Row],[Рожнов Олег Александрович]]-(AB$124/100)*Мособлдума_одномандатный[[#This Row],[Число действительных бюллетеней]])</f>
        <v>231.92</v>
      </c>
      <c r="AP74" s="13">
        <f>(Мособлдума_одномандатный[[#This Row],[Вброс]]+Мособлдума_одномандатный[[#This Row],[Перекладывание]])/2</f>
        <v>203.80848484848485</v>
      </c>
      <c r="AQ74" s="13">
        <f>Дума_партии[[#This Row],[Зона ответственности в сен. 2022 г.]]</f>
        <v>0</v>
      </c>
    </row>
    <row r="75" spans="2:43" x14ac:dyDescent="0.4">
      <c r="B75" t="s">
        <v>74</v>
      </c>
      <c r="C75" t="s">
        <v>207</v>
      </c>
      <c r="D75" t="s">
        <v>102</v>
      </c>
      <c r="E75" t="s">
        <v>176</v>
      </c>
      <c r="F75" s="1">
        <f t="shared" ca="1" si="27"/>
        <v>1815</v>
      </c>
      <c r="G75" s="1" t="str">
        <f>Дума_партии[[#This Row],[Местоположение]]</f>
        <v>Атепцево</v>
      </c>
      <c r="H75">
        <v>1253</v>
      </c>
      <c r="I75" s="10">
        <f>Мособлдума_одномандатный[[#This Row],[Число избирателей, внесенных в список на момент окончания голосования]]</f>
        <v>1253</v>
      </c>
      <c r="J75">
        <v>1200</v>
      </c>
      <c r="L75">
        <v>604</v>
      </c>
      <c r="M75">
        <v>16</v>
      </c>
      <c r="N75" s="3">
        <f t="shared" si="28"/>
        <v>49.481245011971268</v>
      </c>
      <c r="O75" s="3">
        <f t="shared" si="29"/>
        <v>1.2769353551476457</v>
      </c>
      <c r="P75">
        <v>580</v>
      </c>
      <c r="Q75">
        <v>16</v>
      </c>
      <c r="R75">
        <v>604</v>
      </c>
      <c r="S75" s="1">
        <f t="shared" si="30"/>
        <v>620</v>
      </c>
      <c r="T75" s="3">
        <f t="shared" si="31"/>
        <v>2.5806451612903225</v>
      </c>
      <c r="U75">
        <v>24</v>
      </c>
      <c r="V75" s="3">
        <f t="shared" si="32"/>
        <v>3.870967741935484</v>
      </c>
      <c r="W75">
        <v>596</v>
      </c>
      <c r="X75">
        <v>0</v>
      </c>
      <c r="Y75">
        <v>0</v>
      </c>
      <c r="Z75">
        <v>104</v>
      </c>
      <c r="AA75" s="3">
        <f t="shared" si="33"/>
        <v>16.774193548387096</v>
      </c>
      <c r="AB75">
        <v>43</v>
      </c>
      <c r="AC75" s="3">
        <f t="shared" si="34"/>
        <v>6.935483870967742</v>
      </c>
      <c r="AD75">
        <v>45</v>
      </c>
      <c r="AE75" s="3">
        <f t="shared" si="35"/>
        <v>7.258064516129032</v>
      </c>
      <c r="AF75">
        <v>37</v>
      </c>
      <c r="AG75" s="3">
        <f t="shared" si="36"/>
        <v>5.967741935483871</v>
      </c>
      <c r="AH75">
        <v>42</v>
      </c>
      <c r="AI75" s="3">
        <f t="shared" si="37"/>
        <v>6.774193548387097</v>
      </c>
      <c r="AJ75">
        <v>325</v>
      </c>
      <c r="AK75" s="3">
        <f t="shared" si="38"/>
        <v>52.41935483870968</v>
      </c>
      <c r="AL75" t="s">
        <v>208</v>
      </c>
      <c r="AN75"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185.39393939393938</v>
      </c>
      <c r="AO75" s="13">
        <f>2*(Мособлдума_одномандатный[[#This Row],[Рожнов Олег Александрович]]-(AB$124/100)*Мособлдума_одномандатный[[#This Row],[Число действительных бюллетеней]])</f>
        <v>244.71999999999997</v>
      </c>
      <c r="AP75" s="13">
        <f>(Мособлдума_одномандатный[[#This Row],[Вброс]]+Мособлдума_одномандатный[[#This Row],[Перекладывание]])/2</f>
        <v>215.05696969696967</v>
      </c>
      <c r="AQ75" s="13">
        <f>Дума_партии[[#This Row],[Зона ответственности в сен. 2022 г.]]</f>
        <v>0</v>
      </c>
    </row>
    <row r="76" spans="2:43" x14ac:dyDescent="0.4">
      <c r="B76" t="s">
        <v>74</v>
      </c>
      <c r="C76" t="s">
        <v>207</v>
      </c>
      <c r="D76" t="s">
        <v>102</v>
      </c>
      <c r="E76" t="s">
        <v>177</v>
      </c>
      <c r="F76" s="1">
        <f t="shared" ca="1" si="27"/>
        <v>1816</v>
      </c>
      <c r="G76" s="1" t="str">
        <f>Дума_партии[[#This Row],[Местоположение]]</f>
        <v>Атепцево</v>
      </c>
      <c r="H76">
        <v>1272</v>
      </c>
      <c r="I76" s="10">
        <f>Мособлдума_одномандатный[[#This Row],[Число избирателей, внесенных в список на момент окончания голосования]]</f>
        <v>1272</v>
      </c>
      <c r="J76">
        <v>1200</v>
      </c>
      <c r="L76">
        <v>611</v>
      </c>
      <c r="M76">
        <v>44</v>
      </c>
      <c r="N76" s="3">
        <f t="shared" si="28"/>
        <v>51.4937106918239</v>
      </c>
      <c r="O76" s="3">
        <f t="shared" si="29"/>
        <v>3.459119496855346</v>
      </c>
      <c r="P76">
        <v>545</v>
      </c>
      <c r="Q76">
        <v>44</v>
      </c>
      <c r="R76">
        <v>611</v>
      </c>
      <c r="S76" s="1">
        <f t="shared" si="30"/>
        <v>655</v>
      </c>
      <c r="T76" s="3">
        <f t="shared" si="31"/>
        <v>6.7175572519083966</v>
      </c>
      <c r="U76">
        <v>35</v>
      </c>
      <c r="V76" s="3">
        <f t="shared" si="32"/>
        <v>5.343511450381679</v>
      </c>
      <c r="W76">
        <v>620</v>
      </c>
      <c r="X76">
        <v>0</v>
      </c>
      <c r="Y76">
        <v>0</v>
      </c>
      <c r="Z76">
        <v>123</v>
      </c>
      <c r="AA76" s="3">
        <f t="shared" si="33"/>
        <v>18.778625954198475</v>
      </c>
      <c r="AB76">
        <v>33</v>
      </c>
      <c r="AC76" s="3">
        <f t="shared" si="34"/>
        <v>5.0381679389312977</v>
      </c>
      <c r="AD76">
        <v>34</v>
      </c>
      <c r="AE76" s="3">
        <f t="shared" si="35"/>
        <v>5.1908396946564883</v>
      </c>
      <c r="AF76">
        <v>43</v>
      </c>
      <c r="AG76" s="3">
        <f t="shared" si="36"/>
        <v>6.5648854961832059</v>
      </c>
      <c r="AH76">
        <v>41</v>
      </c>
      <c r="AI76" s="3">
        <f t="shared" si="37"/>
        <v>6.2595419847328246</v>
      </c>
      <c r="AJ76">
        <v>346</v>
      </c>
      <c r="AK76" s="3">
        <f t="shared" si="38"/>
        <v>52.824427480916029</v>
      </c>
      <c r="AL76" t="s">
        <v>208</v>
      </c>
      <c r="AN76"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204.84848484848482</v>
      </c>
      <c r="AO76" s="13">
        <f>2*(Мособлдума_одномандатный[[#This Row],[Рожнов Олег Александрович]]-(AB$124/100)*Мособлдума_одномандатный[[#This Row],[Число действительных бюллетеней]])</f>
        <v>270.39999999999998</v>
      </c>
      <c r="AP76" s="13">
        <f>(Мособлдума_одномандатный[[#This Row],[Вброс]]+Мособлдума_одномандатный[[#This Row],[Перекладывание]])/2</f>
        <v>237.6242424242424</v>
      </c>
      <c r="AQ76" s="13">
        <f>Дума_партии[[#This Row],[Зона ответственности в сен. 2022 г.]]</f>
        <v>0</v>
      </c>
    </row>
    <row r="77" spans="2:43" x14ac:dyDescent="0.4">
      <c r="B77" t="s">
        <v>74</v>
      </c>
      <c r="C77" t="s">
        <v>207</v>
      </c>
      <c r="D77" t="s">
        <v>102</v>
      </c>
      <c r="E77" t="s">
        <v>178</v>
      </c>
      <c r="F77" s="1">
        <f t="shared" ca="1" si="27"/>
        <v>1817</v>
      </c>
      <c r="G77" s="1" t="str">
        <f>Дума_партии[[#This Row],[Местоположение]]</f>
        <v>Новая Ольховка</v>
      </c>
      <c r="H77">
        <v>742</v>
      </c>
      <c r="I77" s="10">
        <f>Мособлдума_одномандатный[[#This Row],[Число избирателей, внесенных в список на момент окончания голосования]]</f>
        <v>742</v>
      </c>
      <c r="J77">
        <v>600</v>
      </c>
      <c r="L77">
        <v>184</v>
      </c>
      <c r="M77">
        <v>156</v>
      </c>
      <c r="N77" s="3">
        <f t="shared" si="28"/>
        <v>45.822102425876011</v>
      </c>
      <c r="O77" s="3">
        <f t="shared" si="29"/>
        <v>21.024258760107816</v>
      </c>
      <c r="P77">
        <v>260</v>
      </c>
      <c r="Q77">
        <v>156</v>
      </c>
      <c r="R77">
        <v>184</v>
      </c>
      <c r="S77" s="1">
        <f t="shared" si="30"/>
        <v>340</v>
      </c>
      <c r="T77" s="3">
        <f t="shared" si="31"/>
        <v>45.882352941176471</v>
      </c>
      <c r="U77">
        <v>15</v>
      </c>
      <c r="V77" s="3">
        <f t="shared" si="32"/>
        <v>4.4117647058823533</v>
      </c>
      <c r="W77">
        <v>325</v>
      </c>
      <c r="X77">
        <v>0</v>
      </c>
      <c r="Y77">
        <v>0</v>
      </c>
      <c r="Z77">
        <v>64</v>
      </c>
      <c r="AA77" s="3">
        <f t="shared" si="33"/>
        <v>18.823529411764707</v>
      </c>
      <c r="AB77">
        <v>12</v>
      </c>
      <c r="AC77" s="3">
        <f t="shared" si="34"/>
        <v>3.5294117647058822</v>
      </c>
      <c r="AD77">
        <v>20</v>
      </c>
      <c r="AE77" s="3">
        <f t="shared" si="35"/>
        <v>5.882352941176471</v>
      </c>
      <c r="AF77">
        <v>19</v>
      </c>
      <c r="AG77" s="3">
        <f t="shared" si="36"/>
        <v>5.5882352941176467</v>
      </c>
      <c r="AH77">
        <v>23</v>
      </c>
      <c r="AI77" s="3">
        <f t="shared" si="37"/>
        <v>6.7647058823529411</v>
      </c>
      <c r="AJ77">
        <v>187</v>
      </c>
      <c r="AK77" s="3">
        <f t="shared" si="38"/>
        <v>55</v>
      </c>
      <c r="AL77" t="s">
        <v>208</v>
      </c>
      <c r="AN77"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115.90909090909089</v>
      </c>
      <c r="AO77" s="13">
        <f>2*(Мособлдума_одномандатный[[#This Row],[Рожнов Олег Александрович]]-(AB$124/100)*Мособлдума_одномандатный[[#This Row],[Число действительных бюллетеней]])</f>
        <v>152.99999999999997</v>
      </c>
      <c r="AP77" s="13">
        <f>(Мособлдума_одномандатный[[#This Row],[Вброс]]+Мособлдума_одномандатный[[#This Row],[Перекладывание]])/2</f>
        <v>134.45454545454544</v>
      </c>
      <c r="AQ77" s="13">
        <f>Дума_партии[[#This Row],[Зона ответственности в сен. 2022 г.]]</f>
        <v>0</v>
      </c>
    </row>
    <row r="78" spans="2:43" x14ac:dyDescent="0.4">
      <c r="B78" t="s">
        <v>74</v>
      </c>
      <c r="C78" t="s">
        <v>207</v>
      </c>
      <c r="D78" t="s">
        <v>102</v>
      </c>
      <c r="E78" t="s">
        <v>179</v>
      </c>
      <c r="F78" s="1">
        <f t="shared" ca="1" si="27"/>
        <v>1818</v>
      </c>
      <c r="G78" s="1" t="str">
        <f>Дума_партии[[#This Row],[Местоположение]]</f>
        <v>Новая Ольховка</v>
      </c>
      <c r="H78">
        <v>1230</v>
      </c>
      <c r="I78" s="10">
        <f>Мособлдума_одномандатный[[#This Row],[Число избирателей, внесенных в список на момент окончания голосования]]</f>
        <v>1230</v>
      </c>
      <c r="J78">
        <v>1200</v>
      </c>
      <c r="L78">
        <v>530</v>
      </c>
      <c r="M78">
        <v>139</v>
      </c>
      <c r="N78" s="3">
        <f t="shared" si="28"/>
        <v>54.390243902439025</v>
      </c>
      <c r="O78" s="3">
        <f t="shared" si="29"/>
        <v>11.300813008130081</v>
      </c>
      <c r="P78">
        <v>531</v>
      </c>
      <c r="Q78">
        <v>139</v>
      </c>
      <c r="R78">
        <v>530</v>
      </c>
      <c r="S78" s="1">
        <f t="shared" si="30"/>
        <v>669</v>
      </c>
      <c r="T78" s="3">
        <f t="shared" si="31"/>
        <v>20.777279521674142</v>
      </c>
      <c r="U78">
        <v>8</v>
      </c>
      <c r="V78" s="3">
        <f t="shared" si="32"/>
        <v>1.195814648729447</v>
      </c>
      <c r="W78">
        <v>661</v>
      </c>
      <c r="X78">
        <v>0</v>
      </c>
      <c r="Y78">
        <v>0</v>
      </c>
      <c r="Z78">
        <v>98</v>
      </c>
      <c r="AA78" s="3">
        <f t="shared" si="33"/>
        <v>14.648729446935725</v>
      </c>
      <c r="AB78">
        <v>36</v>
      </c>
      <c r="AC78" s="3">
        <f t="shared" si="34"/>
        <v>5.3811659192825116</v>
      </c>
      <c r="AD78">
        <v>47</v>
      </c>
      <c r="AE78" s="3">
        <f t="shared" si="35"/>
        <v>7.0254110612855012</v>
      </c>
      <c r="AF78">
        <v>35</v>
      </c>
      <c r="AG78" s="3">
        <f t="shared" si="36"/>
        <v>5.2316890881913301</v>
      </c>
      <c r="AH78">
        <v>43</v>
      </c>
      <c r="AI78" s="3">
        <f t="shared" si="37"/>
        <v>6.4275037369207775</v>
      </c>
      <c r="AJ78">
        <v>402</v>
      </c>
      <c r="AK78" s="3">
        <f t="shared" si="38"/>
        <v>60.08968609865471</v>
      </c>
      <c r="AL78" t="s">
        <v>208</v>
      </c>
      <c r="AN78"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268.57575757575756</v>
      </c>
      <c r="AO78" s="13">
        <f>2*(Мособлдума_одномандатный[[#This Row],[Рожнов Олег Александрович]]-(AB$124/100)*Мособлдума_одномандатный[[#This Row],[Число действительных бюллетеней]])</f>
        <v>354.52</v>
      </c>
      <c r="AP78" s="13">
        <f>(Мособлдума_одномандатный[[#This Row],[Вброс]]+Мособлдума_одномандатный[[#This Row],[Перекладывание]])/2</f>
        <v>311.54787878787874</v>
      </c>
      <c r="AQ78" s="13">
        <f>Дума_партии[[#This Row],[Зона ответственности в сен. 2022 г.]]</f>
        <v>0</v>
      </c>
    </row>
    <row r="79" spans="2:43" x14ac:dyDescent="0.4">
      <c r="B79" t="s">
        <v>74</v>
      </c>
      <c r="C79" t="s">
        <v>207</v>
      </c>
      <c r="D79" t="s">
        <v>102</v>
      </c>
      <c r="E79" t="s">
        <v>180</v>
      </c>
      <c r="F79" s="1">
        <f t="shared" ca="1" si="27"/>
        <v>1819</v>
      </c>
      <c r="G79" s="1" t="str">
        <f>Дума_партии[[#This Row],[Местоположение]]</f>
        <v>Каменское</v>
      </c>
      <c r="H79">
        <v>1158</v>
      </c>
      <c r="I79" s="10">
        <f>Мособлдума_одномандатный[[#This Row],[Число избирателей, внесенных в список на момент окончания голосования]]</f>
        <v>1158</v>
      </c>
      <c r="J79">
        <v>1200</v>
      </c>
      <c r="L79">
        <v>610</v>
      </c>
      <c r="M79">
        <v>25</v>
      </c>
      <c r="N79" s="3">
        <f t="shared" si="28"/>
        <v>54.835924006908463</v>
      </c>
      <c r="O79" s="3">
        <f t="shared" si="29"/>
        <v>2.1588946459412779</v>
      </c>
      <c r="P79">
        <v>565</v>
      </c>
      <c r="Q79">
        <v>25</v>
      </c>
      <c r="R79">
        <v>610</v>
      </c>
      <c r="S79" s="1">
        <f t="shared" si="30"/>
        <v>635</v>
      </c>
      <c r="T79" s="3">
        <f t="shared" si="31"/>
        <v>3.9370078740157481</v>
      </c>
      <c r="U79">
        <v>52</v>
      </c>
      <c r="V79" s="3">
        <f t="shared" si="32"/>
        <v>8.1889763779527556</v>
      </c>
      <c r="W79">
        <v>583</v>
      </c>
      <c r="X79">
        <v>0</v>
      </c>
      <c r="Y79">
        <v>0</v>
      </c>
      <c r="Z79">
        <v>130</v>
      </c>
      <c r="AA79" s="3">
        <f t="shared" si="33"/>
        <v>20.472440944881889</v>
      </c>
      <c r="AB79">
        <v>42</v>
      </c>
      <c r="AC79" s="3">
        <f t="shared" si="34"/>
        <v>6.6141732283464565</v>
      </c>
      <c r="AD79">
        <v>45</v>
      </c>
      <c r="AE79" s="3">
        <f t="shared" si="35"/>
        <v>7.0866141732283463</v>
      </c>
      <c r="AF79">
        <v>32</v>
      </c>
      <c r="AG79" s="3">
        <f t="shared" si="36"/>
        <v>5.0393700787401574</v>
      </c>
      <c r="AH79">
        <v>45</v>
      </c>
      <c r="AI79" s="3">
        <f t="shared" si="37"/>
        <v>7.0866141732283463</v>
      </c>
      <c r="AJ79">
        <v>289</v>
      </c>
      <c r="AK79" s="3">
        <f t="shared" si="38"/>
        <v>45.511811023622045</v>
      </c>
      <c r="AL79" t="s">
        <v>208</v>
      </c>
      <c r="AN79"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137.5454545454545</v>
      </c>
      <c r="AO79" s="13">
        <f>2*(Мособлдума_одномандатный[[#This Row],[Рожнов Олег Александрович]]-(AB$124/100)*Мособлдума_одномандатный[[#This Row],[Число действительных бюллетеней]])</f>
        <v>181.55999999999995</v>
      </c>
      <c r="AP79" s="13">
        <f>(Мособлдума_одномандатный[[#This Row],[Вброс]]+Мособлдума_одномандатный[[#This Row],[Перекладывание]])/2</f>
        <v>159.55272727272722</v>
      </c>
      <c r="AQ79" s="13">
        <f>Дума_партии[[#This Row],[Зона ответственности в сен. 2022 г.]]</f>
        <v>0</v>
      </c>
    </row>
    <row r="80" spans="2:43" x14ac:dyDescent="0.4">
      <c r="B80" t="s">
        <v>74</v>
      </c>
      <c r="C80" t="s">
        <v>207</v>
      </c>
      <c r="D80" t="s">
        <v>102</v>
      </c>
      <c r="E80" t="s">
        <v>181</v>
      </c>
      <c r="F80" s="1">
        <f t="shared" ca="1" si="27"/>
        <v>1820</v>
      </c>
      <c r="G80" s="1" t="str">
        <f>Дума_партии[[#This Row],[Местоположение]]</f>
        <v>Веселево</v>
      </c>
      <c r="H80">
        <v>1099</v>
      </c>
      <c r="I80" s="10">
        <f>Мособлдума_одномандатный[[#This Row],[Число избирателей, внесенных в список на момент окончания голосования]]</f>
        <v>1099</v>
      </c>
      <c r="J80">
        <v>1100</v>
      </c>
      <c r="L80">
        <v>441</v>
      </c>
      <c r="M80">
        <v>201</v>
      </c>
      <c r="N80" s="3">
        <f t="shared" si="28"/>
        <v>58.416742493175612</v>
      </c>
      <c r="O80" s="3">
        <f t="shared" si="29"/>
        <v>18.289353958143767</v>
      </c>
      <c r="P80">
        <v>458</v>
      </c>
      <c r="Q80">
        <v>201</v>
      </c>
      <c r="R80">
        <v>441</v>
      </c>
      <c r="S80" s="1">
        <f t="shared" si="30"/>
        <v>642</v>
      </c>
      <c r="T80" s="3">
        <f t="shared" si="31"/>
        <v>31.308411214953271</v>
      </c>
      <c r="U80">
        <v>40</v>
      </c>
      <c r="V80" s="3">
        <f t="shared" si="32"/>
        <v>6.2305295950155761</v>
      </c>
      <c r="W80">
        <v>602</v>
      </c>
      <c r="X80">
        <v>0</v>
      </c>
      <c r="Y80">
        <v>0</v>
      </c>
      <c r="Z80">
        <v>112</v>
      </c>
      <c r="AA80" s="3">
        <f t="shared" si="33"/>
        <v>17.445482866043612</v>
      </c>
      <c r="AB80">
        <v>52</v>
      </c>
      <c r="AC80" s="3">
        <f t="shared" si="34"/>
        <v>8.0996884735202492</v>
      </c>
      <c r="AD80">
        <v>42</v>
      </c>
      <c r="AE80" s="3">
        <f t="shared" si="35"/>
        <v>6.5420560747663554</v>
      </c>
      <c r="AF80">
        <v>31</v>
      </c>
      <c r="AG80" s="3">
        <f t="shared" si="36"/>
        <v>4.8286604361370715</v>
      </c>
      <c r="AH80">
        <v>41</v>
      </c>
      <c r="AI80" s="3">
        <f t="shared" si="37"/>
        <v>6.3862928348909653</v>
      </c>
      <c r="AJ80">
        <v>324</v>
      </c>
      <c r="AK80" s="3">
        <f t="shared" si="38"/>
        <v>50.467289719626166</v>
      </c>
      <c r="AL80" t="s">
        <v>208</v>
      </c>
      <c r="AN80"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180.78787878787875</v>
      </c>
      <c r="AO80" s="13">
        <f>2*(Мособлдума_одномандатный[[#This Row],[Рожнов Олег Александрович]]-(AB$124/100)*Мособлдума_одномандатный[[#This Row],[Число действительных бюллетеней]])</f>
        <v>238.64</v>
      </c>
      <c r="AP80" s="13">
        <f>(Мособлдума_одномандатный[[#This Row],[Вброс]]+Мособлдума_одномандатный[[#This Row],[Перекладывание]])/2</f>
        <v>209.71393939393937</v>
      </c>
      <c r="AQ80" s="13">
        <f>Дума_партии[[#This Row],[Зона ответственности в сен. 2022 г.]]</f>
        <v>0</v>
      </c>
    </row>
    <row r="81" spans="2:43" x14ac:dyDescent="0.4">
      <c r="B81" t="s">
        <v>74</v>
      </c>
      <c r="C81" t="s">
        <v>207</v>
      </c>
      <c r="D81" t="s">
        <v>102</v>
      </c>
      <c r="E81" t="s">
        <v>182</v>
      </c>
      <c r="F81" s="1">
        <f t="shared" ca="1" si="27"/>
        <v>1821</v>
      </c>
      <c r="G81" s="1" t="str">
        <f>Дума_партии[[#This Row],[Местоположение]]</f>
        <v>Шустиково</v>
      </c>
      <c r="H81">
        <v>461</v>
      </c>
      <c r="I81" s="10">
        <f>Мособлдума_одномандатный[[#This Row],[Число избирателей, внесенных в список на момент окончания голосования]]</f>
        <v>461</v>
      </c>
      <c r="J81">
        <v>500</v>
      </c>
      <c r="L81">
        <v>174</v>
      </c>
      <c r="M81">
        <v>164</v>
      </c>
      <c r="N81" s="3">
        <f t="shared" si="28"/>
        <v>73.318872017353584</v>
      </c>
      <c r="O81" s="3">
        <f t="shared" si="29"/>
        <v>35.574837310195228</v>
      </c>
      <c r="P81">
        <v>162</v>
      </c>
      <c r="Q81">
        <v>164</v>
      </c>
      <c r="R81">
        <v>174</v>
      </c>
      <c r="S81" s="1">
        <f t="shared" si="30"/>
        <v>338</v>
      </c>
      <c r="T81" s="3">
        <f t="shared" si="31"/>
        <v>48.520710059171599</v>
      </c>
      <c r="U81">
        <v>29</v>
      </c>
      <c r="V81" s="3">
        <f t="shared" si="32"/>
        <v>8.5798816568047336</v>
      </c>
      <c r="W81">
        <v>309</v>
      </c>
      <c r="X81">
        <v>0</v>
      </c>
      <c r="Y81">
        <v>0</v>
      </c>
      <c r="Z81">
        <v>56</v>
      </c>
      <c r="AA81" s="3">
        <f t="shared" si="33"/>
        <v>16.568047337278106</v>
      </c>
      <c r="AB81">
        <v>20</v>
      </c>
      <c r="AC81" s="3">
        <f t="shared" si="34"/>
        <v>5.9171597633136095</v>
      </c>
      <c r="AD81">
        <v>25</v>
      </c>
      <c r="AE81" s="3">
        <f t="shared" si="35"/>
        <v>7.3964497041420119</v>
      </c>
      <c r="AF81">
        <v>8</v>
      </c>
      <c r="AG81" s="3">
        <f t="shared" si="36"/>
        <v>2.3668639053254439</v>
      </c>
      <c r="AH81">
        <v>14</v>
      </c>
      <c r="AI81" s="3">
        <f t="shared" si="37"/>
        <v>4.1420118343195265</v>
      </c>
      <c r="AJ81">
        <v>186</v>
      </c>
      <c r="AK81" s="3">
        <f t="shared" si="38"/>
        <v>55.029585798816569</v>
      </c>
      <c r="AL81" t="s">
        <v>208</v>
      </c>
      <c r="AN81"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122.63636363636363</v>
      </c>
      <c r="AO81" s="13">
        <f>2*(Мособлдума_одномандатный[[#This Row],[Рожнов Олег Александрович]]-(AB$124/100)*Мособлдума_одномандатный[[#This Row],[Число действительных бюллетеней]])</f>
        <v>161.88</v>
      </c>
      <c r="AP81" s="13">
        <f>(Мособлдума_одномандатный[[#This Row],[Вброс]]+Мособлдума_одномандатный[[#This Row],[Перекладывание]])/2</f>
        <v>142.25818181818181</v>
      </c>
      <c r="AQ81" s="13">
        <f>Дума_партии[[#This Row],[Зона ответственности в сен. 2022 г.]]</f>
        <v>0</v>
      </c>
    </row>
    <row r="82" spans="2:43" x14ac:dyDescent="0.4">
      <c r="B82" t="s">
        <v>74</v>
      </c>
      <c r="C82" t="s">
        <v>207</v>
      </c>
      <c r="D82" t="s">
        <v>102</v>
      </c>
      <c r="E82" t="s">
        <v>183</v>
      </c>
      <c r="F82" s="1">
        <f t="shared" ca="1" si="27"/>
        <v>1822</v>
      </c>
      <c r="G82" s="1" t="str">
        <f>Дума_партии[[#This Row],[Местоположение]]</f>
        <v>Волчёнки</v>
      </c>
      <c r="H82">
        <v>731</v>
      </c>
      <c r="I82" s="10">
        <f>Мособлдума_одномандатный[[#This Row],[Число избирателей, внесенных в список на момент окончания голосования]]</f>
        <v>731</v>
      </c>
      <c r="J82">
        <v>700</v>
      </c>
      <c r="L82">
        <v>328</v>
      </c>
      <c r="M82">
        <v>59</v>
      </c>
      <c r="N82" s="3">
        <f t="shared" si="28"/>
        <v>52.941176470588232</v>
      </c>
      <c r="O82" s="3">
        <f t="shared" si="29"/>
        <v>8.0711354309165522</v>
      </c>
      <c r="P82">
        <v>313</v>
      </c>
      <c r="Q82">
        <v>59</v>
      </c>
      <c r="R82">
        <v>326</v>
      </c>
      <c r="S82" s="1">
        <f t="shared" si="30"/>
        <v>385</v>
      </c>
      <c r="T82" s="3">
        <f t="shared" si="31"/>
        <v>15.324675324675324</v>
      </c>
      <c r="U82">
        <v>57</v>
      </c>
      <c r="V82" s="3">
        <f t="shared" si="32"/>
        <v>14.805194805194805</v>
      </c>
      <c r="W82">
        <v>328</v>
      </c>
      <c r="X82">
        <v>0</v>
      </c>
      <c r="Y82">
        <v>0</v>
      </c>
      <c r="Z82">
        <v>98</v>
      </c>
      <c r="AA82" s="3">
        <f t="shared" si="33"/>
        <v>25.454545454545453</v>
      </c>
      <c r="AB82">
        <v>25</v>
      </c>
      <c r="AC82" s="3">
        <f t="shared" si="34"/>
        <v>6.4935064935064934</v>
      </c>
      <c r="AD82">
        <v>20</v>
      </c>
      <c r="AE82" s="3">
        <f t="shared" si="35"/>
        <v>5.1948051948051948</v>
      </c>
      <c r="AF82">
        <v>28</v>
      </c>
      <c r="AG82" s="3">
        <f t="shared" si="36"/>
        <v>7.2727272727272725</v>
      </c>
      <c r="AH82">
        <v>22</v>
      </c>
      <c r="AI82" s="3">
        <f t="shared" si="37"/>
        <v>5.7142857142857144</v>
      </c>
      <c r="AJ82">
        <v>135</v>
      </c>
      <c r="AK82" s="3">
        <f t="shared" si="38"/>
        <v>35.064935064935064</v>
      </c>
      <c r="AL82" t="s">
        <v>208</v>
      </c>
      <c r="AN82"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35.575757575757564</v>
      </c>
      <c r="AO82" s="13">
        <f>2*(Мособлдума_одномандатный[[#This Row],[Рожнов Олег Александрович]]-(AB$124/100)*Мособлдума_одномандатный[[#This Row],[Число действительных бюллетеней]])</f>
        <v>46.95999999999998</v>
      </c>
      <c r="AP82" s="13">
        <f>(Мособлдума_одномандатный[[#This Row],[Вброс]]+Мособлдума_одномандатный[[#This Row],[Перекладывание]])/2</f>
        <v>41.267878787878772</v>
      </c>
      <c r="AQ82" s="13">
        <f>Дума_партии[[#This Row],[Зона ответственности в сен. 2022 г.]]</f>
        <v>0</v>
      </c>
    </row>
    <row r="83" spans="2:43" x14ac:dyDescent="0.4">
      <c r="B83" t="s">
        <v>74</v>
      </c>
      <c r="C83" t="s">
        <v>207</v>
      </c>
      <c r="D83" t="s">
        <v>102</v>
      </c>
      <c r="E83" t="s">
        <v>184</v>
      </c>
      <c r="F83" s="1">
        <f t="shared" ca="1" si="27"/>
        <v>1823</v>
      </c>
      <c r="G83" s="1" t="str">
        <f>Дума_партии[[#This Row],[Местоположение]]</f>
        <v>Устье</v>
      </c>
      <c r="H83">
        <v>663</v>
      </c>
      <c r="I83" s="10">
        <f>Мособлдума_одномандатный[[#This Row],[Число избирателей, внесенных в список на момент окончания голосования]]</f>
        <v>663</v>
      </c>
      <c r="J83">
        <v>600</v>
      </c>
      <c r="L83">
        <v>263</v>
      </c>
      <c r="M83">
        <v>56</v>
      </c>
      <c r="N83" s="3">
        <f t="shared" si="28"/>
        <v>48.114630467571644</v>
      </c>
      <c r="O83" s="3">
        <f t="shared" si="29"/>
        <v>8.4464555052790349</v>
      </c>
      <c r="P83">
        <v>281</v>
      </c>
      <c r="Q83">
        <v>56</v>
      </c>
      <c r="R83">
        <v>263</v>
      </c>
      <c r="S83" s="1">
        <f t="shared" si="30"/>
        <v>319</v>
      </c>
      <c r="T83" s="3">
        <f t="shared" si="31"/>
        <v>17.554858934169278</v>
      </c>
      <c r="U83">
        <v>33</v>
      </c>
      <c r="V83" s="3">
        <f t="shared" si="32"/>
        <v>10.344827586206897</v>
      </c>
      <c r="W83">
        <v>286</v>
      </c>
      <c r="X83">
        <v>0</v>
      </c>
      <c r="Y83">
        <v>0</v>
      </c>
      <c r="Z83">
        <v>58</v>
      </c>
      <c r="AA83" s="3">
        <f t="shared" si="33"/>
        <v>18.181818181818183</v>
      </c>
      <c r="AB83">
        <v>16</v>
      </c>
      <c r="AC83" s="3">
        <f t="shared" si="34"/>
        <v>5.015673981191223</v>
      </c>
      <c r="AD83">
        <v>32</v>
      </c>
      <c r="AE83" s="3">
        <f t="shared" si="35"/>
        <v>10.031347962382446</v>
      </c>
      <c r="AF83">
        <v>31</v>
      </c>
      <c r="AG83" s="3">
        <f t="shared" si="36"/>
        <v>9.7178683385579934</v>
      </c>
      <c r="AH83">
        <v>18</v>
      </c>
      <c r="AI83" s="3">
        <f t="shared" si="37"/>
        <v>5.6426332288401255</v>
      </c>
      <c r="AJ83">
        <v>131</v>
      </c>
      <c r="AK83" s="3">
        <f t="shared" si="38"/>
        <v>41.065830721003138</v>
      </c>
      <c r="AL83" t="s">
        <v>208</v>
      </c>
      <c r="AN83"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51.151515151515142</v>
      </c>
      <c r="AO83" s="13">
        <f>2*(Мособлдума_одномандатный[[#This Row],[Рожнов Олег Александрович]]-(AB$124/100)*Мособлдума_одномандатный[[#This Row],[Число действительных бюллетеней]])</f>
        <v>67.519999999999982</v>
      </c>
      <c r="AP83" s="13">
        <f>(Мособлдума_одномандатный[[#This Row],[Вброс]]+Мособлдума_одномандатный[[#This Row],[Перекладывание]])/2</f>
        <v>59.335757575757562</v>
      </c>
      <c r="AQ83" s="13">
        <f>Дума_партии[[#This Row],[Зона ответственности в сен. 2022 г.]]</f>
        <v>0</v>
      </c>
    </row>
    <row r="84" spans="2:43" x14ac:dyDescent="0.4">
      <c r="B84" t="s">
        <v>74</v>
      </c>
      <c r="C84" t="s">
        <v>207</v>
      </c>
      <c r="D84" t="s">
        <v>102</v>
      </c>
      <c r="E84" t="s">
        <v>185</v>
      </c>
      <c r="F84" s="1">
        <f t="shared" ca="1" si="27"/>
        <v>1824</v>
      </c>
      <c r="G84" s="1" t="str">
        <f>Дума_партии[[#This Row],[Местоположение]]</f>
        <v>пос. свх. Архангельский</v>
      </c>
      <c r="H84">
        <v>1093</v>
      </c>
      <c r="I84" s="10">
        <f>Мособлдума_одномандатный[[#This Row],[Число избирателей, внесенных в список на момент окончания голосования]]</f>
        <v>1093</v>
      </c>
      <c r="J84">
        <v>1100</v>
      </c>
      <c r="L84">
        <v>423</v>
      </c>
      <c r="M84">
        <v>72</v>
      </c>
      <c r="N84" s="3">
        <f t="shared" si="28"/>
        <v>45.288197621225983</v>
      </c>
      <c r="O84" s="3">
        <f t="shared" si="29"/>
        <v>6.5873741994510517</v>
      </c>
      <c r="P84">
        <v>605</v>
      </c>
      <c r="Q84">
        <v>72</v>
      </c>
      <c r="R84">
        <v>423</v>
      </c>
      <c r="S84" s="1">
        <f t="shared" si="30"/>
        <v>495</v>
      </c>
      <c r="T84" s="3">
        <f t="shared" si="31"/>
        <v>14.545454545454545</v>
      </c>
      <c r="U84">
        <v>7</v>
      </c>
      <c r="V84" s="3">
        <f t="shared" si="32"/>
        <v>1.4141414141414141</v>
      </c>
      <c r="W84">
        <v>488</v>
      </c>
      <c r="X84">
        <v>0</v>
      </c>
      <c r="Y84">
        <v>0</v>
      </c>
      <c r="Z84">
        <v>52</v>
      </c>
      <c r="AA84" s="3">
        <f t="shared" si="33"/>
        <v>10.505050505050505</v>
      </c>
      <c r="AB84">
        <v>14</v>
      </c>
      <c r="AC84" s="3">
        <f t="shared" si="34"/>
        <v>2.8282828282828283</v>
      </c>
      <c r="AD84">
        <v>23</v>
      </c>
      <c r="AE84" s="3">
        <f t="shared" si="35"/>
        <v>4.6464646464646462</v>
      </c>
      <c r="AF84">
        <v>3</v>
      </c>
      <c r="AG84" s="3">
        <f t="shared" si="36"/>
        <v>0.60606060606060608</v>
      </c>
      <c r="AH84">
        <v>7</v>
      </c>
      <c r="AI84" s="3">
        <f t="shared" si="37"/>
        <v>1.4141414141414141</v>
      </c>
      <c r="AJ84">
        <v>389</v>
      </c>
      <c r="AK84" s="3">
        <f t="shared" si="38"/>
        <v>78.585858585858588</v>
      </c>
      <c r="AL84" t="s">
        <v>208</v>
      </c>
      <c r="AN84"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338</v>
      </c>
      <c r="AO84" s="13">
        <f>2*(Мособлдума_одномандатный[[#This Row],[Рожнов Олег Александрович]]-(AB$124/100)*Мособлдума_одномандатный[[#This Row],[Число действительных бюллетеней]])</f>
        <v>446.15999999999997</v>
      </c>
      <c r="AP84" s="13">
        <f>(Мособлдума_одномандатный[[#This Row],[Вброс]]+Мособлдума_одномандатный[[#This Row],[Перекладывание]])/2</f>
        <v>392.08</v>
      </c>
      <c r="AQ84" s="13">
        <f>Дума_партии[[#This Row],[Зона ответственности в сен. 2022 г.]]</f>
        <v>0</v>
      </c>
    </row>
    <row r="85" spans="2:43" x14ac:dyDescent="0.4">
      <c r="B85" t="s">
        <v>74</v>
      </c>
      <c r="C85" t="s">
        <v>207</v>
      </c>
      <c r="D85" t="s">
        <v>102</v>
      </c>
      <c r="E85" t="s">
        <v>186</v>
      </c>
      <c r="F85" s="1">
        <f t="shared" ca="1" si="27"/>
        <v>1825</v>
      </c>
      <c r="G85" s="1" t="str">
        <f>Дума_партии[[#This Row],[Местоположение]]</f>
        <v>Таширово</v>
      </c>
      <c r="H85">
        <v>2082</v>
      </c>
      <c r="I85" s="10">
        <f>Мособлдума_одномандатный[[#This Row],[Число избирателей, внесенных в список на момент окончания голосования]]</f>
        <v>2082</v>
      </c>
      <c r="J85">
        <v>2000</v>
      </c>
      <c r="L85">
        <v>574</v>
      </c>
      <c r="M85">
        <v>97</v>
      </c>
      <c r="N85" s="3">
        <f t="shared" si="28"/>
        <v>32.228626320845343</v>
      </c>
      <c r="O85" s="3">
        <f t="shared" si="29"/>
        <v>4.658981748318924</v>
      </c>
      <c r="P85">
        <v>1329</v>
      </c>
      <c r="Q85">
        <v>97</v>
      </c>
      <c r="R85">
        <v>574</v>
      </c>
      <c r="S85" s="1">
        <f t="shared" si="30"/>
        <v>671</v>
      </c>
      <c r="T85" s="3">
        <f t="shared" si="31"/>
        <v>14.456035767511178</v>
      </c>
      <c r="U85">
        <v>35</v>
      </c>
      <c r="V85" s="3">
        <f t="shared" si="32"/>
        <v>5.216095380029806</v>
      </c>
      <c r="W85">
        <v>636</v>
      </c>
      <c r="X85">
        <v>0</v>
      </c>
      <c r="Y85">
        <v>0</v>
      </c>
      <c r="Z85">
        <v>183</v>
      </c>
      <c r="AA85" s="3">
        <f t="shared" si="33"/>
        <v>27.272727272727273</v>
      </c>
      <c r="AB85">
        <v>64</v>
      </c>
      <c r="AC85" s="3">
        <f t="shared" si="34"/>
        <v>9.5380029806259312</v>
      </c>
      <c r="AD85">
        <v>60</v>
      </c>
      <c r="AE85" s="3">
        <f t="shared" si="35"/>
        <v>8.9418777943368113</v>
      </c>
      <c r="AF85">
        <v>58</v>
      </c>
      <c r="AG85" s="3">
        <f t="shared" si="36"/>
        <v>8.6438152011922504</v>
      </c>
      <c r="AH85">
        <v>53</v>
      </c>
      <c r="AI85" s="3">
        <f t="shared" si="37"/>
        <v>7.8986587183308492</v>
      </c>
      <c r="AJ85">
        <v>218</v>
      </c>
      <c r="AK85" s="3">
        <f t="shared" si="38"/>
        <v>32.488822652757079</v>
      </c>
      <c r="AL85" t="s">
        <v>208</v>
      </c>
      <c r="AN85"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2.6666666666666288</v>
      </c>
      <c r="AO85" s="13">
        <f>2*(Мособлдума_одномандатный[[#This Row],[Рожнов Олег Александрович]]-(AB$124/100)*Мособлдума_одномандатный[[#This Row],[Число действительных бюллетеней]])</f>
        <v>3.5199999999999818</v>
      </c>
      <c r="AP85" s="13">
        <f>(Мособлдума_одномандатный[[#This Row],[Вброс]]+Мособлдума_одномандатный[[#This Row],[Перекладывание]])/2</f>
        <v>3.0933333333333053</v>
      </c>
      <c r="AQ85" s="13">
        <f>Дума_партии[[#This Row],[Зона ответственности в сен. 2022 г.]]</f>
        <v>0</v>
      </c>
    </row>
    <row r="86" spans="2:43" x14ac:dyDescent="0.4">
      <c r="B86" t="s">
        <v>74</v>
      </c>
      <c r="C86" t="s">
        <v>207</v>
      </c>
      <c r="D86" t="s">
        <v>102</v>
      </c>
      <c r="E86" t="s">
        <v>187</v>
      </c>
      <c r="F86" s="1">
        <f t="shared" ca="1" si="27"/>
        <v>1826</v>
      </c>
      <c r="G86" s="1" t="str">
        <f>Дума_партии[[#This Row],[Местоположение]]</f>
        <v>Васильчиново</v>
      </c>
      <c r="H86">
        <v>1265</v>
      </c>
      <c r="I86" s="10">
        <f>Мособлдума_одномандатный[[#This Row],[Число избирателей, внесенных в список на момент окончания голосования]]</f>
        <v>1265</v>
      </c>
      <c r="J86">
        <v>1200</v>
      </c>
      <c r="L86">
        <v>569</v>
      </c>
      <c r="M86">
        <v>49</v>
      </c>
      <c r="N86" s="3">
        <f t="shared" si="28"/>
        <v>48.853754940711461</v>
      </c>
      <c r="O86" s="3">
        <f t="shared" si="29"/>
        <v>3.8735177865612647</v>
      </c>
      <c r="P86">
        <v>582</v>
      </c>
      <c r="Q86">
        <v>49</v>
      </c>
      <c r="R86">
        <v>567</v>
      </c>
      <c r="S86" s="1">
        <f t="shared" si="30"/>
        <v>616</v>
      </c>
      <c r="T86" s="3">
        <f t="shared" si="31"/>
        <v>7.9545454545454541</v>
      </c>
      <c r="U86">
        <v>40</v>
      </c>
      <c r="V86" s="3">
        <f t="shared" si="32"/>
        <v>6.4935064935064934</v>
      </c>
      <c r="W86">
        <v>576</v>
      </c>
      <c r="X86">
        <v>0</v>
      </c>
      <c r="Y86">
        <v>0</v>
      </c>
      <c r="Z86">
        <v>121</v>
      </c>
      <c r="AA86" s="3">
        <f t="shared" si="33"/>
        <v>19.642857142857142</v>
      </c>
      <c r="AB86">
        <v>49</v>
      </c>
      <c r="AC86" s="3">
        <f t="shared" si="34"/>
        <v>7.9545454545454541</v>
      </c>
      <c r="AD86">
        <v>55</v>
      </c>
      <c r="AE86" s="3">
        <f t="shared" si="35"/>
        <v>8.9285714285714288</v>
      </c>
      <c r="AF86">
        <v>44</v>
      </c>
      <c r="AG86" s="3">
        <f t="shared" si="36"/>
        <v>7.1428571428571432</v>
      </c>
      <c r="AH86">
        <v>49</v>
      </c>
      <c r="AI86" s="3">
        <f t="shared" si="37"/>
        <v>7.9545454545454541</v>
      </c>
      <c r="AJ86">
        <v>258</v>
      </c>
      <c r="AK86" s="3">
        <f t="shared" si="38"/>
        <v>41.883116883116884</v>
      </c>
      <c r="AL86" t="s">
        <v>208</v>
      </c>
      <c r="AN86"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94.181818181818159</v>
      </c>
      <c r="AO86" s="13">
        <f>2*(Мособлдума_одномандатный[[#This Row],[Рожнов Олег Александрович]]-(AB$124/100)*Мособлдума_одномандатный[[#This Row],[Число действительных бюллетеней]])</f>
        <v>124.32</v>
      </c>
      <c r="AP86" s="13">
        <f>(Мособлдума_одномандатный[[#This Row],[Вброс]]+Мособлдума_одномандатный[[#This Row],[Перекладывание]])/2</f>
        <v>109.25090909090908</v>
      </c>
      <c r="AQ86" s="13">
        <f>Дума_партии[[#This Row],[Зона ответственности в сен. 2022 г.]]</f>
        <v>0</v>
      </c>
    </row>
    <row r="87" spans="2:43" x14ac:dyDescent="0.4">
      <c r="B87" t="s">
        <v>74</v>
      </c>
      <c r="C87" t="s">
        <v>207</v>
      </c>
      <c r="D87" t="s">
        <v>102</v>
      </c>
      <c r="E87" t="s">
        <v>188</v>
      </c>
      <c r="F87" s="1">
        <f t="shared" ca="1" si="27"/>
        <v>1827</v>
      </c>
      <c r="G87" s="1" t="str">
        <f>Дума_партии[[#This Row],[Местоположение]]</f>
        <v>Таширово</v>
      </c>
      <c r="H87">
        <v>576</v>
      </c>
      <c r="I87" s="10">
        <f>Мособлдума_одномандатный[[#This Row],[Число избирателей, внесенных в список на момент окончания голосования]]</f>
        <v>576</v>
      </c>
      <c r="J87">
        <v>500</v>
      </c>
      <c r="L87">
        <v>149</v>
      </c>
      <c r="M87">
        <v>130</v>
      </c>
      <c r="N87" s="3">
        <f t="shared" si="28"/>
        <v>48.4375</v>
      </c>
      <c r="O87" s="3">
        <f t="shared" si="29"/>
        <v>22.569444444444443</v>
      </c>
      <c r="P87">
        <v>221</v>
      </c>
      <c r="Q87">
        <v>130</v>
      </c>
      <c r="R87">
        <v>149</v>
      </c>
      <c r="S87" s="1">
        <f t="shared" si="30"/>
        <v>279</v>
      </c>
      <c r="T87" s="3">
        <f t="shared" si="31"/>
        <v>46.594982078853043</v>
      </c>
      <c r="U87">
        <v>6</v>
      </c>
      <c r="V87" s="3">
        <f t="shared" si="32"/>
        <v>2.150537634408602</v>
      </c>
      <c r="W87">
        <v>273</v>
      </c>
      <c r="X87">
        <v>0</v>
      </c>
      <c r="Y87">
        <v>0</v>
      </c>
      <c r="Z87">
        <v>53</v>
      </c>
      <c r="AA87" s="3">
        <f t="shared" si="33"/>
        <v>18.996415770609318</v>
      </c>
      <c r="AB87">
        <v>17</v>
      </c>
      <c r="AC87" s="3">
        <f t="shared" si="34"/>
        <v>6.0931899641577063</v>
      </c>
      <c r="AD87">
        <v>15</v>
      </c>
      <c r="AE87" s="3">
        <f t="shared" si="35"/>
        <v>5.376344086021505</v>
      </c>
      <c r="AF87">
        <v>17</v>
      </c>
      <c r="AG87" s="3">
        <f t="shared" si="36"/>
        <v>6.0931899641577063</v>
      </c>
      <c r="AH87">
        <v>16</v>
      </c>
      <c r="AI87" s="3">
        <f t="shared" si="37"/>
        <v>5.7347670250896057</v>
      </c>
      <c r="AJ87">
        <v>155</v>
      </c>
      <c r="AK87" s="3">
        <f t="shared" si="38"/>
        <v>55.555555555555557</v>
      </c>
      <c r="AL87" t="s">
        <v>208</v>
      </c>
      <c r="AN87"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94.212121212121204</v>
      </c>
      <c r="AO87" s="13">
        <f>2*(Мособлдума_одномандатный[[#This Row],[Рожнов Олег Александрович]]-(AB$124/100)*Мособлдума_одномандатный[[#This Row],[Число действительных бюллетеней]])</f>
        <v>124.35999999999999</v>
      </c>
      <c r="AP87" s="13">
        <f>(Мособлдума_одномандатный[[#This Row],[Вброс]]+Мособлдума_одномандатный[[#This Row],[Перекладывание]])/2</f>
        <v>109.2860606060606</v>
      </c>
      <c r="AQ87" s="13">
        <f>Дума_партии[[#This Row],[Зона ответственности в сен. 2022 г.]]</f>
        <v>0</v>
      </c>
    </row>
    <row r="88" spans="2:43" x14ac:dyDescent="0.4">
      <c r="B88" t="s">
        <v>74</v>
      </c>
      <c r="C88" t="s">
        <v>207</v>
      </c>
      <c r="D88" t="s">
        <v>102</v>
      </c>
      <c r="E88" t="s">
        <v>189</v>
      </c>
      <c r="F88" s="1">
        <f t="shared" ca="1" si="27"/>
        <v>1828</v>
      </c>
      <c r="G88" s="1" t="str">
        <f>Дума_партии[[#This Row],[Местоположение]]</f>
        <v>Головково</v>
      </c>
      <c r="H88">
        <v>1208</v>
      </c>
      <c r="I88" s="10">
        <f>Мособлдума_одномандатный[[#This Row],[Число избирателей, внесенных в список на момент окончания голосования]]</f>
        <v>1208</v>
      </c>
      <c r="J88">
        <v>1200</v>
      </c>
      <c r="L88">
        <v>450</v>
      </c>
      <c r="M88">
        <v>170</v>
      </c>
      <c r="N88" s="3">
        <f t="shared" si="28"/>
        <v>51.324503311258276</v>
      </c>
      <c r="O88" s="3">
        <f t="shared" si="29"/>
        <v>14.072847682119205</v>
      </c>
      <c r="P88">
        <v>580</v>
      </c>
      <c r="Q88">
        <v>170</v>
      </c>
      <c r="R88">
        <v>450</v>
      </c>
      <c r="S88" s="1">
        <f t="shared" si="30"/>
        <v>620</v>
      </c>
      <c r="T88" s="3">
        <f t="shared" si="31"/>
        <v>27.419354838709676</v>
      </c>
      <c r="U88">
        <v>36</v>
      </c>
      <c r="V88" s="3">
        <f t="shared" si="32"/>
        <v>5.806451612903226</v>
      </c>
      <c r="W88">
        <v>584</v>
      </c>
      <c r="X88">
        <v>0</v>
      </c>
      <c r="Y88">
        <v>0</v>
      </c>
      <c r="Z88">
        <v>108</v>
      </c>
      <c r="AA88" s="3">
        <f t="shared" si="33"/>
        <v>17.419354838709676</v>
      </c>
      <c r="AB88">
        <v>54</v>
      </c>
      <c r="AC88" s="3">
        <f t="shared" si="34"/>
        <v>8.7096774193548381</v>
      </c>
      <c r="AD88">
        <v>62</v>
      </c>
      <c r="AE88" s="3">
        <f t="shared" si="35"/>
        <v>10</v>
      </c>
      <c r="AF88">
        <v>34</v>
      </c>
      <c r="AG88" s="3">
        <f t="shared" si="36"/>
        <v>5.4838709677419351</v>
      </c>
      <c r="AH88">
        <v>47</v>
      </c>
      <c r="AI88" s="3">
        <f t="shared" si="37"/>
        <v>7.580645161290323</v>
      </c>
      <c r="AJ88">
        <v>279</v>
      </c>
      <c r="AK88" s="3">
        <f t="shared" si="38"/>
        <v>45</v>
      </c>
      <c r="AL88" t="s">
        <v>208</v>
      </c>
      <c r="AN88"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121.87878787878785</v>
      </c>
      <c r="AO88" s="13">
        <f>2*(Мособлдума_одномандатный[[#This Row],[Рожнов Олег Александрович]]-(AB$124/100)*Мособлдума_одномандатный[[#This Row],[Число действительных бюллетеней]])</f>
        <v>160.88</v>
      </c>
      <c r="AP88" s="13">
        <f>(Мособлдума_одномандатный[[#This Row],[Вброс]]+Мособлдума_одномандатный[[#This Row],[Перекладывание]])/2</f>
        <v>141.37939393939394</v>
      </c>
      <c r="AQ88" s="13">
        <f>Дума_партии[[#This Row],[Зона ответственности в сен. 2022 г.]]</f>
        <v>0</v>
      </c>
    </row>
    <row r="89" spans="2:43" x14ac:dyDescent="0.4">
      <c r="B89" t="s">
        <v>74</v>
      </c>
      <c r="C89" t="s">
        <v>207</v>
      </c>
      <c r="D89" t="s">
        <v>102</v>
      </c>
      <c r="E89" t="s">
        <v>190</v>
      </c>
      <c r="F89" s="1">
        <f t="shared" ca="1" si="27"/>
        <v>3873</v>
      </c>
      <c r="G89" s="1" t="str">
        <f>Дума_партии[[#This Row],[Местоположение]]</f>
        <v>Наро-Фоминск</v>
      </c>
      <c r="H89">
        <v>1548</v>
      </c>
      <c r="I89" s="10">
        <f>Мособлдума_одномандатный[[#This Row],[Число избирателей, внесенных в список на момент окончания голосования]]</f>
        <v>1548</v>
      </c>
      <c r="J89">
        <v>1500</v>
      </c>
      <c r="L89">
        <v>538</v>
      </c>
      <c r="M89">
        <v>12</v>
      </c>
      <c r="N89" s="3">
        <f t="shared" si="28"/>
        <v>35.529715762273902</v>
      </c>
      <c r="O89" s="3">
        <f t="shared" si="29"/>
        <v>0.77519379844961245</v>
      </c>
      <c r="P89">
        <v>950</v>
      </c>
      <c r="Q89">
        <v>12</v>
      </c>
      <c r="R89">
        <v>530</v>
      </c>
      <c r="S89" s="1">
        <f t="shared" si="30"/>
        <v>542</v>
      </c>
      <c r="T89" s="3">
        <f t="shared" si="31"/>
        <v>2.2140221402214024</v>
      </c>
      <c r="U89">
        <v>31</v>
      </c>
      <c r="V89" s="3">
        <f t="shared" si="32"/>
        <v>5.719557195571956</v>
      </c>
      <c r="W89">
        <v>511</v>
      </c>
      <c r="X89">
        <v>0</v>
      </c>
      <c r="Y89">
        <v>0</v>
      </c>
      <c r="Z89">
        <v>121</v>
      </c>
      <c r="AA89" s="3">
        <f t="shared" si="33"/>
        <v>22.324723247232473</v>
      </c>
      <c r="AB89">
        <v>56</v>
      </c>
      <c r="AC89" s="3">
        <f t="shared" si="34"/>
        <v>10.332103321033211</v>
      </c>
      <c r="AD89">
        <v>44</v>
      </c>
      <c r="AE89" s="3">
        <f t="shared" si="35"/>
        <v>8.1180811808118083</v>
      </c>
      <c r="AF89">
        <v>57</v>
      </c>
      <c r="AG89" s="3">
        <f t="shared" si="36"/>
        <v>10.51660516605166</v>
      </c>
      <c r="AH89">
        <v>40</v>
      </c>
      <c r="AI89" s="3">
        <f t="shared" si="37"/>
        <v>7.3800738007380078</v>
      </c>
      <c r="AJ89">
        <v>193</v>
      </c>
      <c r="AK89" s="3">
        <f t="shared" si="38"/>
        <v>35.608856088560884</v>
      </c>
      <c r="AL89" t="s">
        <v>208</v>
      </c>
      <c r="AN89"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29.181818181818159</v>
      </c>
      <c r="AO89" s="13">
        <f>2*(Мособлдума_одномандатный[[#This Row],[Рожнов Олег Александрович]]-(AB$124/100)*Мособлдума_одномандатный[[#This Row],[Число действительных бюллетеней]])</f>
        <v>38.519999999999982</v>
      </c>
      <c r="AP89" s="13">
        <f>(Мособлдума_одномандатный[[#This Row],[Вброс]]+Мособлдума_одномандатный[[#This Row],[Перекладывание]])/2</f>
        <v>33.85090909090907</v>
      </c>
      <c r="AQ89" s="13">
        <f>Дума_партии[[#This Row],[Зона ответственности в сен. 2022 г.]]</f>
        <v>0</v>
      </c>
    </row>
    <row r="90" spans="2:43" x14ac:dyDescent="0.4">
      <c r="B90" t="s">
        <v>74</v>
      </c>
      <c r="C90" t="s">
        <v>207</v>
      </c>
      <c r="D90" t="s">
        <v>102</v>
      </c>
      <c r="E90" t="s">
        <v>191</v>
      </c>
      <c r="F90" s="1">
        <f t="shared" ca="1" si="27"/>
        <v>3874</v>
      </c>
      <c r="G90" s="1" t="str">
        <f>Дума_партии[[#This Row],[Местоположение]]</f>
        <v>Наро-Фоминск</v>
      </c>
      <c r="H90">
        <v>971</v>
      </c>
      <c r="I90" s="10">
        <f>Мособлдума_одномандатный[[#This Row],[Число избирателей, внесенных в список на момент окончания голосования]]</f>
        <v>971</v>
      </c>
      <c r="J90">
        <v>900</v>
      </c>
      <c r="L90">
        <v>367</v>
      </c>
      <c r="M90">
        <v>11</v>
      </c>
      <c r="N90" s="3">
        <f t="shared" si="28"/>
        <v>38.928939237899073</v>
      </c>
      <c r="O90" s="3">
        <f t="shared" si="29"/>
        <v>1.1328527291452111</v>
      </c>
      <c r="P90">
        <v>522</v>
      </c>
      <c r="Q90">
        <v>11</v>
      </c>
      <c r="R90">
        <v>367</v>
      </c>
      <c r="S90" s="1">
        <f t="shared" si="30"/>
        <v>378</v>
      </c>
      <c r="T90" s="3">
        <f t="shared" si="31"/>
        <v>2.9100529100529102</v>
      </c>
      <c r="U90">
        <v>33</v>
      </c>
      <c r="V90" s="3">
        <f t="shared" si="32"/>
        <v>8.7301587301587293</v>
      </c>
      <c r="W90">
        <v>345</v>
      </c>
      <c r="X90">
        <v>0</v>
      </c>
      <c r="Y90">
        <v>0</v>
      </c>
      <c r="Z90">
        <v>84</v>
      </c>
      <c r="AA90" s="3">
        <f t="shared" si="33"/>
        <v>22.222222222222221</v>
      </c>
      <c r="AB90">
        <v>37</v>
      </c>
      <c r="AC90" s="3">
        <f t="shared" si="34"/>
        <v>9.7883597883597879</v>
      </c>
      <c r="AD90">
        <v>40</v>
      </c>
      <c r="AE90" s="3">
        <f t="shared" si="35"/>
        <v>10.582010582010582</v>
      </c>
      <c r="AF90">
        <v>35</v>
      </c>
      <c r="AG90" s="3">
        <f t="shared" si="36"/>
        <v>9.2592592592592595</v>
      </c>
      <c r="AH90">
        <v>26</v>
      </c>
      <c r="AI90" s="3">
        <f t="shared" si="37"/>
        <v>6.8783068783068781</v>
      </c>
      <c r="AJ90">
        <v>123</v>
      </c>
      <c r="AK90" s="3">
        <f t="shared" si="38"/>
        <v>32.539682539682538</v>
      </c>
      <c r="AL90" t="s">
        <v>208</v>
      </c>
      <c r="AN90"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8.6363636363636118</v>
      </c>
      <c r="AO90" s="13">
        <f>2*(Мособлдума_одномандатный[[#This Row],[Рожнов Олег Александрович]]-(AB$124/100)*Мособлдума_одномандатный[[#This Row],[Число действительных бюллетеней]])</f>
        <v>11.399999999999977</v>
      </c>
      <c r="AP90" s="13">
        <f>(Мособлдума_одномандатный[[#This Row],[Вброс]]+Мособлдума_одномандатный[[#This Row],[Перекладывание]])/2</f>
        <v>10.018181818181795</v>
      </c>
      <c r="AQ90" s="13">
        <f>Дума_партии[[#This Row],[Зона ответственности в сен. 2022 г.]]</f>
        <v>0</v>
      </c>
    </row>
    <row r="91" spans="2:43" x14ac:dyDescent="0.4">
      <c r="B91" t="s">
        <v>74</v>
      </c>
      <c r="C91" t="s">
        <v>207</v>
      </c>
      <c r="D91" t="s">
        <v>102</v>
      </c>
      <c r="E91" t="s">
        <v>192</v>
      </c>
      <c r="F91" s="1">
        <f t="shared" ca="1" si="27"/>
        <v>3875</v>
      </c>
      <c r="G91" s="1" t="str">
        <f>Дума_партии[[#This Row],[Местоположение]]</f>
        <v>Наро-Фоминск</v>
      </c>
      <c r="H91">
        <v>1133</v>
      </c>
      <c r="I91" s="10">
        <f>Мособлдума_одномандатный[[#This Row],[Число избирателей, внесенных в список на момент окончания голосования]]</f>
        <v>1133</v>
      </c>
      <c r="J91">
        <v>1100</v>
      </c>
      <c r="L91">
        <v>358</v>
      </c>
      <c r="M91">
        <v>10</v>
      </c>
      <c r="N91" s="3">
        <f t="shared" si="28"/>
        <v>32.480141218005294</v>
      </c>
      <c r="O91" s="3">
        <f t="shared" si="29"/>
        <v>0.88261253309796994</v>
      </c>
      <c r="P91">
        <v>732</v>
      </c>
      <c r="Q91">
        <v>10</v>
      </c>
      <c r="R91">
        <v>358</v>
      </c>
      <c r="S91" s="1">
        <f t="shared" si="30"/>
        <v>368</v>
      </c>
      <c r="T91" s="3">
        <f t="shared" si="31"/>
        <v>2.7173913043478262</v>
      </c>
      <c r="U91">
        <v>39</v>
      </c>
      <c r="V91" s="3">
        <f t="shared" si="32"/>
        <v>10.597826086956522</v>
      </c>
      <c r="W91">
        <v>329</v>
      </c>
      <c r="X91">
        <v>0</v>
      </c>
      <c r="Y91">
        <v>0</v>
      </c>
      <c r="Z91">
        <v>83</v>
      </c>
      <c r="AA91" s="3">
        <f t="shared" si="33"/>
        <v>22.554347826086957</v>
      </c>
      <c r="AB91">
        <v>30</v>
      </c>
      <c r="AC91" s="3">
        <f t="shared" si="34"/>
        <v>8.1521739130434785</v>
      </c>
      <c r="AD91">
        <v>26</v>
      </c>
      <c r="AE91" s="3">
        <f t="shared" si="35"/>
        <v>7.0652173913043477</v>
      </c>
      <c r="AF91">
        <v>28</v>
      </c>
      <c r="AG91" s="3">
        <f t="shared" si="36"/>
        <v>7.6086956521739131</v>
      </c>
      <c r="AH91">
        <v>34</v>
      </c>
      <c r="AI91" s="3">
        <f t="shared" si="37"/>
        <v>9.2391304347826093</v>
      </c>
      <c r="AJ91">
        <v>128</v>
      </c>
      <c r="AK91" s="3">
        <f t="shared" si="38"/>
        <v>34.782608695652172</v>
      </c>
      <c r="AL91" t="s">
        <v>208</v>
      </c>
      <c r="AN91"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24.454545454545439</v>
      </c>
      <c r="AO91" s="13">
        <f>2*(Мособлдума_одномандатный[[#This Row],[Рожнов Олег Александрович]]-(AB$124/100)*Мособлдума_одномандатный[[#This Row],[Число действительных бюллетеней]])</f>
        <v>32.279999999999973</v>
      </c>
      <c r="AP91" s="13">
        <f>(Мособлдума_одномандатный[[#This Row],[Вброс]]+Мособлдума_одномандатный[[#This Row],[Перекладывание]])/2</f>
        <v>28.367272727272706</v>
      </c>
      <c r="AQ91" s="13">
        <f>Дума_партии[[#This Row],[Зона ответственности в сен. 2022 г.]]</f>
        <v>0</v>
      </c>
    </row>
    <row r="92" spans="2:43" x14ac:dyDescent="0.4">
      <c r="B92" t="s">
        <v>74</v>
      </c>
      <c r="C92" t="s">
        <v>207</v>
      </c>
      <c r="D92" t="s">
        <v>102</v>
      </c>
      <c r="E92" t="s">
        <v>193</v>
      </c>
      <c r="F92" s="1">
        <f t="shared" ca="1" si="27"/>
        <v>3876</v>
      </c>
      <c r="G92" s="1" t="str">
        <f>Дума_партии[[#This Row],[Местоположение]]</f>
        <v>Наро-Фоминск</v>
      </c>
      <c r="H92">
        <v>961</v>
      </c>
      <c r="I92" s="10">
        <f>Мособлдума_одномандатный[[#This Row],[Число избирателей, внесенных в список на момент окончания голосования]]</f>
        <v>961</v>
      </c>
      <c r="J92">
        <v>900</v>
      </c>
      <c r="L92">
        <v>358</v>
      </c>
      <c r="M92">
        <v>11</v>
      </c>
      <c r="N92" s="3">
        <f t="shared" si="28"/>
        <v>38.397502601456814</v>
      </c>
      <c r="O92" s="3">
        <f t="shared" si="29"/>
        <v>1.1446409989594173</v>
      </c>
      <c r="P92">
        <v>531</v>
      </c>
      <c r="Q92">
        <v>11</v>
      </c>
      <c r="R92">
        <v>357</v>
      </c>
      <c r="S92" s="1">
        <f t="shared" si="30"/>
        <v>368</v>
      </c>
      <c r="T92" s="3">
        <f t="shared" si="31"/>
        <v>2.9891304347826089</v>
      </c>
      <c r="U92">
        <v>34</v>
      </c>
      <c r="V92" s="3">
        <f t="shared" si="32"/>
        <v>9.2391304347826093</v>
      </c>
      <c r="W92">
        <v>334</v>
      </c>
      <c r="X92">
        <v>0</v>
      </c>
      <c r="Y92">
        <v>0</v>
      </c>
      <c r="Z92">
        <v>94</v>
      </c>
      <c r="AA92" s="3">
        <f t="shared" si="33"/>
        <v>25.543478260869566</v>
      </c>
      <c r="AB92">
        <v>26</v>
      </c>
      <c r="AC92" s="3">
        <f t="shared" si="34"/>
        <v>7.0652173913043477</v>
      </c>
      <c r="AD92">
        <v>36</v>
      </c>
      <c r="AE92" s="3">
        <f t="shared" si="35"/>
        <v>9.7826086956521738</v>
      </c>
      <c r="AF92">
        <v>32</v>
      </c>
      <c r="AG92" s="3">
        <f t="shared" si="36"/>
        <v>8.695652173913043</v>
      </c>
      <c r="AH92">
        <v>29</v>
      </c>
      <c r="AI92" s="3">
        <f t="shared" si="37"/>
        <v>7.8804347826086953</v>
      </c>
      <c r="AJ92">
        <v>117</v>
      </c>
      <c r="AK92" s="3">
        <f t="shared" si="38"/>
        <v>31.793478260869566</v>
      </c>
      <c r="AL92" t="s">
        <v>208</v>
      </c>
      <c r="AN92"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5.2121212121211897</v>
      </c>
      <c r="AO92" s="13">
        <f>2*(Мособлдума_одномандатный[[#This Row],[Рожнов Олег Александрович]]-(AB$124/100)*Мособлдума_одномандатный[[#This Row],[Число действительных бюллетеней]])</f>
        <v>6.8799999999999955</v>
      </c>
      <c r="AP92" s="13">
        <f>(Мособлдума_одномандатный[[#This Row],[Вброс]]+Мособлдума_одномандатный[[#This Row],[Перекладывание]])/2</f>
        <v>6.0460606060605926</v>
      </c>
      <c r="AQ92" s="13">
        <f>Дума_партии[[#This Row],[Зона ответственности в сен. 2022 г.]]</f>
        <v>0</v>
      </c>
    </row>
    <row r="93" spans="2:43" x14ac:dyDescent="0.4">
      <c r="B93" t="s">
        <v>74</v>
      </c>
      <c r="C93" t="s">
        <v>207</v>
      </c>
      <c r="D93" t="s">
        <v>102</v>
      </c>
      <c r="E93" t="s">
        <v>194</v>
      </c>
      <c r="F93" s="1">
        <f t="shared" ca="1" si="27"/>
        <v>3877</v>
      </c>
      <c r="G93" s="1" t="str">
        <f>Дума_партии[[#This Row],[Местоположение]]</f>
        <v>Наро-Фоминск</v>
      </c>
      <c r="H93">
        <v>1280</v>
      </c>
      <c r="I93" s="10">
        <f>Мособлдума_одномандатный[[#This Row],[Число избирателей, внесенных в список на момент окончания голосования]]</f>
        <v>1280</v>
      </c>
      <c r="J93">
        <v>1400</v>
      </c>
      <c r="L93">
        <v>689</v>
      </c>
      <c r="M93">
        <v>3</v>
      </c>
      <c r="N93" s="3">
        <f t="shared" si="28"/>
        <v>54.0625</v>
      </c>
      <c r="O93" s="3">
        <f t="shared" si="29"/>
        <v>0.234375</v>
      </c>
      <c r="P93">
        <v>708</v>
      </c>
      <c r="Q93">
        <v>3</v>
      </c>
      <c r="R93">
        <v>689</v>
      </c>
      <c r="S93" s="1">
        <f t="shared" si="30"/>
        <v>692</v>
      </c>
      <c r="T93" s="3">
        <f t="shared" si="31"/>
        <v>0.43352601156069365</v>
      </c>
      <c r="U93">
        <v>22</v>
      </c>
      <c r="V93" s="3">
        <f t="shared" si="32"/>
        <v>3.1791907514450868</v>
      </c>
      <c r="W93">
        <v>670</v>
      </c>
      <c r="X93">
        <v>0</v>
      </c>
      <c r="Y93">
        <v>0</v>
      </c>
      <c r="Z93">
        <v>101</v>
      </c>
      <c r="AA93" s="3">
        <f t="shared" si="33"/>
        <v>14.595375722543352</v>
      </c>
      <c r="AB93">
        <v>49</v>
      </c>
      <c r="AC93" s="3">
        <f t="shared" si="34"/>
        <v>7.0809248554913298</v>
      </c>
      <c r="AD93">
        <v>33</v>
      </c>
      <c r="AE93" s="3">
        <f t="shared" si="35"/>
        <v>4.7687861271676297</v>
      </c>
      <c r="AF93">
        <v>34</v>
      </c>
      <c r="AG93" s="3">
        <f t="shared" si="36"/>
        <v>4.9132947976878611</v>
      </c>
      <c r="AH93">
        <v>24</v>
      </c>
      <c r="AI93" s="3">
        <f t="shared" si="37"/>
        <v>3.4682080924855492</v>
      </c>
      <c r="AJ93">
        <v>429</v>
      </c>
      <c r="AK93" s="3">
        <f t="shared" si="38"/>
        <v>61.994219653179194</v>
      </c>
      <c r="AL93" t="s">
        <v>208</v>
      </c>
      <c r="AN93"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304.84848484848482</v>
      </c>
      <c r="AO93" s="13">
        <f>2*(Мособлдума_одномандатный[[#This Row],[Рожнов Олег Александрович]]-(AB$124/100)*Мособлдума_одномандатный[[#This Row],[Число действительных бюллетеней]])</f>
        <v>402.4</v>
      </c>
      <c r="AP93" s="13">
        <f>(Мособлдума_одномандатный[[#This Row],[Вброс]]+Мособлдума_одномандатный[[#This Row],[Перекладывание]])/2</f>
        <v>353.62424242424242</v>
      </c>
      <c r="AQ93" s="13">
        <f>Дума_партии[[#This Row],[Зона ответственности в сен. 2022 г.]]</f>
        <v>0</v>
      </c>
    </row>
    <row r="94" spans="2:43" x14ac:dyDescent="0.4">
      <c r="B94" t="s">
        <v>74</v>
      </c>
      <c r="C94" t="s">
        <v>207</v>
      </c>
      <c r="D94" t="s">
        <v>102</v>
      </c>
      <c r="E94" t="s">
        <v>195</v>
      </c>
      <c r="F94" s="1">
        <f t="shared" ca="1" si="27"/>
        <v>3878</v>
      </c>
      <c r="G94" s="1" t="str">
        <f>Дума_партии[[#This Row],[Местоположение]]</f>
        <v>Наро-Фоминск</v>
      </c>
      <c r="H94">
        <v>1301</v>
      </c>
      <c r="I94" s="10">
        <f>Мособлдума_одномандатный[[#This Row],[Число избирателей, внесенных в список на момент окончания голосования]]</f>
        <v>1301</v>
      </c>
      <c r="J94">
        <v>1300</v>
      </c>
      <c r="L94">
        <v>496</v>
      </c>
      <c r="M94">
        <v>23</v>
      </c>
      <c r="N94" s="3">
        <f t="shared" si="28"/>
        <v>39.892390468870097</v>
      </c>
      <c r="O94" s="3">
        <f t="shared" si="29"/>
        <v>1.7678708685626441</v>
      </c>
      <c r="P94">
        <v>781</v>
      </c>
      <c r="Q94">
        <v>23</v>
      </c>
      <c r="R94">
        <v>496</v>
      </c>
      <c r="S94" s="1">
        <f t="shared" si="30"/>
        <v>519</v>
      </c>
      <c r="T94" s="3">
        <f t="shared" si="31"/>
        <v>4.4315992292870909</v>
      </c>
      <c r="U94">
        <v>48</v>
      </c>
      <c r="V94" s="3">
        <f t="shared" si="32"/>
        <v>9.2485549132947984</v>
      </c>
      <c r="W94">
        <v>471</v>
      </c>
      <c r="X94">
        <v>0</v>
      </c>
      <c r="Y94">
        <v>0</v>
      </c>
      <c r="Z94">
        <v>114</v>
      </c>
      <c r="AA94" s="3">
        <f t="shared" si="33"/>
        <v>21.965317919075144</v>
      </c>
      <c r="AB94">
        <v>45</v>
      </c>
      <c r="AC94" s="3">
        <f t="shared" si="34"/>
        <v>8.6705202312138727</v>
      </c>
      <c r="AD94">
        <v>51</v>
      </c>
      <c r="AE94" s="3">
        <f t="shared" si="35"/>
        <v>9.8265895953757223</v>
      </c>
      <c r="AF94">
        <v>34</v>
      </c>
      <c r="AG94" s="3">
        <f t="shared" si="36"/>
        <v>6.5510597302504818</v>
      </c>
      <c r="AH94">
        <v>55</v>
      </c>
      <c r="AI94" s="3">
        <f t="shared" si="37"/>
        <v>10.597302504816955</v>
      </c>
      <c r="AJ94">
        <v>172</v>
      </c>
      <c r="AK94" s="3">
        <f t="shared" si="38"/>
        <v>33.140655105973025</v>
      </c>
      <c r="AL94" t="s">
        <v>208</v>
      </c>
      <c r="AN94"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17.96969696969694</v>
      </c>
      <c r="AO94" s="13">
        <f>2*(Мособлдума_одномандатный[[#This Row],[Рожнов Олег Александрович]]-(AB$124/100)*Мособлдума_одномандатный[[#This Row],[Число действительных бюллетеней]])</f>
        <v>23.71999999999997</v>
      </c>
      <c r="AP94" s="13">
        <f>(Мособлдума_одномандатный[[#This Row],[Вброс]]+Мособлдума_одномандатный[[#This Row],[Перекладывание]])/2</f>
        <v>20.844848484848455</v>
      </c>
      <c r="AQ94" s="13">
        <f>Дума_партии[[#This Row],[Зона ответственности в сен. 2022 г.]]</f>
        <v>0</v>
      </c>
    </row>
    <row r="95" spans="2:43" x14ac:dyDescent="0.4">
      <c r="B95" t="s">
        <v>74</v>
      </c>
      <c r="C95" t="s">
        <v>207</v>
      </c>
      <c r="D95" t="s">
        <v>102</v>
      </c>
      <c r="E95" t="s">
        <v>196</v>
      </c>
      <c r="F95" s="1">
        <f t="shared" ca="1" si="27"/>
        <v>3879</v>
      </c>
      <c r="G95" s="1" t="str">
        <f>Дума_партии[[#This Row],[Местоположение]]</f>
        <v>Наро-Фоминск</v>
      </c>
      <c r="H95">
        <v>915</v>
      </c>
      <c r="I95" s="10">
        <f>Мособлдума_одномандатный[[#This Row],[Число избирателей, внесенных в список на момент окончания голосования]]</f>
        <v>915</v>
      </c>
      <c r="J95">
        <v>1000</v>
      </c>
      <c r="L95">
        <v>237</v>
      </c>
      <c r="M95">
        <v>185</v>
      </c>
      <c r="N95" s="3">
        <f t="shared" si="28"/>
        <v>46.120218579234972</v>
      </c>
      <c r="O95" s="3">
        <f t="shared" si="29"/>
        <v>20.218579234972676</v>
      </c>
      <c r="P95">
        <v>578</v>
      </c>
      <c r="Q95">
        <v>185</v>
      </c>
      <c r="R95">
        <v>237</v>
      </c>
      <c r="S95" s="1">
        <f t="shared" si="30"/>
        <v>422</v>
      </c>
      <c r="T95" s="3">
        <f t="shared" si="31"/>
        <v>43.838862559241704</v>
      </c>
      <c r="U95">
        <v>20</v>
      </c>
      <c r="V95" s="3">
        <f t="shared" si="32"/>
        <v>4.7393364928909953</v>
      </c>
      <c r="W95">
        <v>402</v>
      </c>
      <c r="X95">
        <v>0</v>
      </c>
      <c r="Y95">
        <v>0</v>
      </c>
      <c r="Z95">
        <v>57</v>
      </c>
      <c r="AA95" s="3">
        <f t="shared" si="33"/>
        <v>13.507109004739336</v>
      </c>
      <c r="AB95">
        <v>20</v>
      </c>
      <c r="AC95" s="3">
        <f t="shared" si="34"/>
        <v>4.7393364928909953</v>
      </c>
      <c r="AD95">
        <v>23</v>
      </c>
      <c r="AE95" s="3">
        <f t="shared" si="35"/>
        <v>5.4502369668246446</v>
      </c>
      <c r="AF95">
        <v>13</v>
      </c>
      <c r="AG95" s="3">
        <f t="shared" si="36"/>
        <v>3.080568720379147</v>
      </c>
      <c r="AH95">
        <v>26</v>
      </c>
      <c r="AI95" s="3">
        <f t="shared" si="37"/>
        <v>6.1611374407582939</v>
      </c>
      <c r="AJ95">
        <v>263</v>
      </c>
      <c r="AK95" s="3">
        <f t="shared" si="38"/>
        <v>62.322274881516584</v>
      </c>
      <c r="AL95" t="s">
        <v>208</v>
      </c>
      <c r="AN95"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191.39393939393938</v>
      </c>
      <c r="AO95" s="13">
        <f>2*(Мособлдума_одномандатный[[#This Row],[Рожнов Олег Александрович]]-(AB$124/100)*Мособлдума_одномандатный[[#This Row],[Число действительных бюллетеней]])</f>
        <v>252.64</v>
      </c>
      <c r="AP95" s="13">
        <f>(Мособлдума_одномандатный[[#This Row],[Вброс]]+Мособлдума_одномандатный[[#This Row],[Перекладывание]])/2</f>
        <v>222.01696969696968</v>
      </c>
      <c r="AQ95" s="13">
        <f>Дума_партии[[#This Row],[Зона ответственности в сен. 2022 г.]]</f>
        <v>0</v>
      </c>
    </row>
    <row r="96" spans="2:43" x14ac:dyDescent="0.4">
      <c r="B96" t="s">
        <v>74</v>
      </c>
      <c r="C96" t="s">
        <v>207</v>
      </c>
      <c r="D96" t="s">
        <v>102</v>
      </c>
      <c r="E96" t="s">
        <v>197</v>
      </c>
      <c r="F96" s="1">
        <f t="shared" ca="1" si="27"/>
        <v>3880</v>
      </c>
      <c r="G96" s="1" t="str">
        <f>Дума_партии[[#This Row],[Местоположение]]</f>
        <v>Апрелевка</v>
      </c>
      <c r="H96">
        <v>1741</v>
      </c>
      <c r="I96" s="10">
        <f>Мособлдума_одномандатный[[#This Row],[Число избирателей, внесенных в список на момент окончания голосования]]</f>
        <v>1741</v>
      </c>
      <c r="J96">
        <v>1700</v>
      </c>
      <c r="L96">
        <v>390</v>
      </c>
      <c r="M96">
        <v>13</v>
      </c>
      <c r="N96" s="3">
        <f t="shared" si="28"/>
        <v>23.147616312464102</v>
      </c>
      <c r="O96" s="3">
        <f t="shared" si="29"/>
        <v>0.74669730040206783</v>
      </c>
      <c r="P96">
        <v>1297</v>
      </c>
      <c r="Q96">
        <v>13</v>
      </c>
      <c r="R96">
        <v>390</v>
      </c>
      <c r="S96" s="1">
        <f t="shared" si="30"/>
        <v>403</v>
      </c>
      <c r="T96" s="3">
        <f t="shared" si="31"/>
        <v>3.225806451612903</v>
      </c>
      <c r="U96">
        <v>29</v>
      </c>
      <c r="V96" s="3">
        <f t="shared" si="32"/>
        <v>7.1960297766749379</v>
      </c>
      <c r="W96">
        <v>374</v>
      </c>
      <c r="X96">
        <v>0</v>
      </c>
      <c r="Y96">
        <v>0</v>
      </c>
      <c r="Z96">
        <v>92</v>
      </c>
      <c r="AA96" s="3">
        <f t="shared" si="33"/>
        <v>22.8287841191067</v>
      </c>
      <c r="AB96">
        <v>33</v>
      </c>
      <c r="AC96" s="3">
        <f t="shared" si="34"/>
        <v>8.1885856079404462</v>
      </c>
      <c r="AD96">
        <v>43</v>
      </c>
      <c r="AE96" s="3">
        <f t="shared" si="35"/>
        <v>10.669975186104219</v>
      </c>
      <c r="AF96">
        <v>60</v>
      </c>
      <c r="AG96" s="3">
        <f t="shared" si="36"/>
        <v>14.88833746898263</v>
      </c>
      <c r="AH96">
        <v>21</v>
      </c>
      <c r="AI96" s="3">
        <f t="shared" si="37"/>
        <v>5.2109181141439205</v>
      </c>
      <c r="AJ96">
        <v>125</v>
      </c>
      <c r="AK96" s="3">
        <f t="shared" si="38"/>
        <v>31.017369727047146</v>
      </c>
      <c r="AL96" t="s">
        <v>208</v>
      </c>
      <c r="AN96"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-3.2727272727273089</v>
      </c>
      <c r="AO96" s="13">
        <f>2*(Мособлдума_одномандатный[[#This Row],[Рожнов Олег Александрович]]-(AB$124/100)*Мособлдума_одномандатный[[#This Row],[Число действительных бюллетеней]])</f>
        <v>-4.3200000000000216</v>
      </c>
      <c r="AP96" s="13">
        <f>(Мособлдума_одномандатный[[#This Row],[Вброс]]+Мособлдума_одномандатный[[#This Row],[Перекладывание]])/2</f>
        <v>-3.7963636363636653</v>
      </c>
      <c r="AQ96" s="13" t="str">
        <f>Дума_партии[[#This Row],[Зона ответственности в сен. 2022 г.]]</f>
        <v>Одинцово КПРФ</v>
      </c>
    </row>
    <row r="97" spans="2:43" x14ac:dyDescent="0.4">
      <c r="B97" t="s">
        <v>74</v>
      </c>
      <c r="C97" t="s">
        <v>207</v>
      </c>
      <c r="D97" t="s">
        <v>102</v>
      </c>
      <c r="E97" t="s">
        <v>198</v>
      </c>
      <c r="F97" s="1">
        <f t="shared" ca="1" si="27"/>
        <v>3881</v>
      </c>
      <c r="G97" s="1" t="str">
        <f>Дума_партии[[#This Row],[Местоположение]]</f>
        <v>Верея</v>
      </c>
      <c r="H97">
        <v>1164</v>
      </c>
      <c r="I97" s="10">
        <f>Мособлдума_одномандатный[[#This Row],[Число избирателей, внесенных в список на момент окончания голосования]]</f>
        <v>1164</v>
      </c>
      <c r="J97">
        <v>1100</v>
      </c>
      <c r="L97">
        <v>367</v>
      </c>
      <c r="M97">
        <v>57</v>
      </c>
      <c r="N97" s="3">
        <f t="shared" si="28"/>
        <v>36.426116838487971</v>
      </c>
      <c r="O97" s="3">
        <f t="shared" si="29"/>
        <v>4.8969072164948457</v>
      </c>
      <c r="P97">
        <v>676</v>
      </c>
      <c r="Q97">
        <v>57</v>
      </c>
      <c r="R97">
        <v>367</v>
      </c>
      <c r="S97" s="1">
        <f t="shared" si="30"/>
        <v>424</v>
      </c>
      <c r="T97" s="3">
        <f t="shared" si="31"/>
        <v>13.443396226415095</v>
      </c>
      <c r="U97">
        <v>26</v>
      </c>
      <c r="V97" s="3">
        <f t="shared" si="32"/>
        <v>6.132075471698113</v>
      </c>
      <c r="W97">
        <v>398</v>
      </c>
      <c r="X97">
        <v>0</v>
      </c>
      <c r="Y97">
        <v>0</v>
      </c>
      <c r="Z97">
        <v>123</v>
      </c>
      <c r="AA97" s="3">
        <f t="shared" si="33"/>
        <v>29.009433962264151</v>
      </c>
      <c r="AB97">
        <v>33</v>
      </c>
      <c r="AC97" s="3">
        <f t="shared" si="34"/>
        <v>7.783018867924528</v>
      </c>
      <c r="AD97">
        <v>44</v>
      </c>
      <c r="AE97" s="3">
        <f t="shared" si="35"/>
        <v>10.377358490566039</v>
      </c>
      <c r="AF97">
        <v>22</v>
      </c>
      <c r="AG97" s="3">
        <f t="shared" si="36"/>
        <v>5.1886792452830193</v>
      </c>
      <c r="AH97">
        <v>44</v>
      </c>
      <c r="AI97" s="3">
        <f t="shared" si="37"/>
        <v>10.377358490566039</v>
      </c>
      <c r="AJ97">
        <v>132</v>
      </c>
      <c r="AK97" s="3">
        <f t="shared" si="38"/>
        <v>31.132075471698112</v>
      </c>
      <c r="AL97" t="s">
        <v>208</v>
      </c>
      <c r="AN97"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-5.0303030303030596</v>
      </c>
      <c r="AO97" s="13">
        <f>2*(Мособлдума_одномандатный[[#This Row],[Рожнов Олег Александрович]]-(AB$124/100)*Мособлдума_одномандатный[[#This Row],[Число действительных бюллетеней]])</f>
        <v>-6.6400000000000432</v>
      </c>
      <c r="AP97" s="13">
        <f>(Мособлдума_одномандатный[[#This Row],[Вброс]]+Мособлдума_одномандатный[[#This Row],[Перекладывание]])/2</f>
        <v>-5.8351515151515514</v>
      </c>
      <c r="AQ97" s="13">
        <f>Дума_партии[[#This Row],[Зона ответственности в сен. 2022 г.]]</f>
        <v>0</v>
      </c>
    </row>
    <row r="98" spans="2:43" x14ac:dyDescent="0.4">
      <c r="B98" t="s">
        <v>74</v>
      </c>
      <c r="C98" t="s">
        <v>207</v>
      </c>
      <c r="D98" t="s">
        <v>102</v>
      </c>
      <c r="E98" t="s">
        <v>199</v>
      </c>
      <c r="F98" s="1">
        <f t="shared" ref="F98:F105" ca="1" si="39">SUMPRODUCT(MID(0&amp;E98, LARGE(INDEX(ISNUMBER(--MID(E98, ROW(INDIRECT("1:"&amp;LEN(E98))), 1)) * ROW(INDIRECT("1:"&amp;LEN(E98))), 0), ROW(INDIRECT("1:"&amp;LEN(E98))))+1, 1) * 10^ROW(INDIRECT("1:"&amp;LEN(E98)))/10)</f>
        <v>3882</v>
      </c>
      <c r="G98" s="1" t="str">
        <f>Дума_партии[[#This Row],[Местоположение]]</f>
        <v>Калининец</v>
      </c>
      <c r="H98">
        <v>3346</v>
      </c>
      <c r="I98" s="10">
        <f>Мособлдума_одномандатный[[#This Row],[Число избирателей, внесенных в список на момент окончания голосования]]</f>
        <v>3346</v>
      </c>
      <c r="J98">
        <v>3000</v>
      </c>
      <c r="L98">
        <v>1573</v>
      </c>
      <c r="M98">
        <v>0</v>
      </c>
      <c r="N98" s="3">
        <f t="shared" si="28"/>
        <v>47.011356843992829</v>
      </c>
      <c r="O98" s="3">
        <f t="shared" si="29"/>
        <v>0</v>
      </c>
      <c r="P98">
        <v>1427</v>
      </c>
      <c r="Q98">
        <v>0</v>
      </c>
      <c r="R98">
        <v>1573</v>
      </c>
      <c r="S98" s="1">
        <f t="shared" si="30"/>
        <v>1573</v>
      </c>
      <c r="T98" s="3">
        <f t="shared" si="31"/>
        <v>0</v>
      </c>
      <c r="U98">
        <v>128</v>
      </c>
      <c r="V98" s="3">
        <f t="shared" si="32"/>
        <v>8.1373172282263191</v>
      </c>
      <c r="W98">
        <v>1445</v>
      </c>
      <c r="X98">
        <v>0</v>
      </c>
      <c r="Y98">
        <v>0</v>
      </c>
      <c r="Z98">
        <v>223</v>
      </c>
      <c r="AA98" s="3">
        <f t="shared" si="33"/>
        <v>14.17673235855054</v>
      </c>
      <c r="AB98">
        <v>109</v>
      </c>
      <c r="AC98" s="3">
        <f t="shared" si="34"/>
        <v>6.9294342021614748</v>
      </c>
      <c r="AD98">
        <v>162</v>
      </c>
      <c r="AE98" s="3">
        <f t="shared" si="35"/>
        <v>10.298792116973935</v>
      </c>
      <c r="AF98">
        <v>156</v>
      </c>
      <c r="AG98" s="3">
        <f t="shared" si="36"/>
        <v>9.9173553719008272</v>
      </c>
      <c r="AH98">
        <v>199</v>
      </c>
      <c r="AI98" s="3">
        <f t="shared" si="37"/>
        <v>12.650985378258106</v>
      </c>
      <c r="AJ98">
        <v>596</v>
      </c>
      <c r="AK98" s="3">
        <f t="shared" si="38"/>
        <v>37.889383343928799</v>
      </c>
      <c r="AL98" t="s">
        <v>208</v>
      </c>
      <c r="AN98"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158.63636363636357</v>
      </c>
      <c r="AO98" s="13">
        <f>2*(Мособлдума_одномандатный[[#This Row],[Рожнов Олег Александрович]]-(AB$124/100)*Мособлдума_одномандатный[[#This Row],[Число действительных бюллетеней]])</f>
        <v>209.39999999999998</v>
      </c>
      <c r="AP98" s="13">
        <f>(Мособлдума_одномандатный[[#This Row],[Вброс]]+Мособлдума_одномандатный[[#This Row],[Перекладывание]])/2</f>
        <v>184.01818181818177</v>
      </c>
      <c r="AQ98" s="13" t="str">
        <f>Дума_партии[[#This Row],[Зона ответственности в сен. 2022 г.]]</f>
        <v>Одинцово КПРФ</v>
      </c>
    </row>
    <row r="99" spans="2:43" x14ac:dyDescent="0.4">
      <c r="B99" t="s">
        <v>74</v>
      </c>
      <c r="C99" t="s">
        <v>207</v>
      </c>
      <c r="D99" t="s">
        <v>102</v>
      </c>
      <c r="E99" t="s">
        <v>200</v>
      </c>
      <c r="F99" s="1">
        <f t="shared" ca="1" si="39"/>
        <v>3883</v>
      </c>
      <c r="G99" s="1" t="str">
        <f>Дума_партии[[#This Row],[Местоположение]]</f>
        <v>Калининец</v>
      </c>
      <c r="H99">
        <v>1981</v>
      </c>
      <c r="I99" s="10">
        <f>Мособлдума_одномандатный[[#This Row],[Число избирателей, внесенных в список на момент окончания голосования]]</f>
        <v>1981</v>
      </c>
      <c r="J99">
        <v>1800</v>
      </c>
      <c r="L99">
        <v>1266</v>
      </c>
      <c r="M99">
        <v>14</v>
      </c>
      <c r="N99" s="3">
        <f t="shared" si="28"/>
        <v>64.613831398283693</v>
      </c>
      <c r="O99" s="3">
        <f t="shared" si="29"/>
        <v>0.70671378091872794</v>
      </c>
      <c r="P99">
        <v>520</v>
      </c>
      <c r="Q99">
        <v>14</v>
      </c>
      <c r="R99">
        <v>1266</v>
      </c>
      <c r="S99" s="1">
        <f t="shared" si="30"/>
        <v>1280</v>
      </c>
      <c r="T99" s="3">
        <f t="shared" si="31"/>
        <v>1.09375</v>
      </c>
      <c r="U99">
        <v>83</v>
      </c>
      <c r="V99" s="3">
        <f t="shared" si="32"/>
        <v>6.484375</v>
      </c>
      <c r="W99">
        <v>1197</v>
      </c>
      <c r="X99">
        <v>0</v>
      </c>
      <c r="Y99">
        <v>0</v>
      </c>
      <c r="Z99">
        <v>252</v>
      </c>
      <c r="AA99" s="3">
        <f t="shared" si="33"/>
        <v>19.6875</v>
      </c>
      <c r="AB99">
        <v>96</v>
      </c>
      <c r="AC99" s="3">
        <f t="shared" si="34"/>
        <v>7.5</v>
      </c>
      <c r="AD99">
        <v>121</v>
      </c>
      <c r="AE99" s="3">
        <f t="shared" si="35"/>
        <v>9.453125</v>
      </c>
      <c r="AF99">
        <v>116</v>
      </c>
      <c r="AG99" s="3">
        <f t="shared" si="36"/>
        <v>9.0625</v>
      </c>
      <c r="AH99">
        <v>172</v>
      </c>
      <c r="AI99" s="3">
        <f t="shared" si="37"/>
        <v>13.4375</v>
      </c>
      <c r="AJ99">
        <v>440</v>
      </c>
      <c r="AK99" s="3">
        <f t="shared" si="38"/>
        <v>34.375</v>
      </c>
      <c r="AL99" t="s">
        <v>208</v>
      </c>
      <c r="AN99"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50.030303030302946</v>
      </c>
      <c r="AO99" s="13">
        <f>2*(Мособлдума_одномандатный[[#This Row],[Рожнов Олег Александрович]]-(AB$124/100)*Мособлдума_одномандатный[[#This Row],[Число действительных бюллетеней]])</f>
        <v>66.039999999999964</v>
      </c>
      <c r="AP99" s="13">
        <f>(Мособлдума_одномандатный[[#This Row],[Вброс]]+Мособлдума_одномандатный[[#This Row],[Перекладывание]])/2</f>
        <v>58.035151515151455</v>
      </c>
      <c r="AQ99" s="13" t="str">
        <f>Дума_партии[[#This Row],[Зона ответственности в сен. 2022 г.]]</f>
        <v>Одинцово КПРФ</v>
      </c>
    </row>
    <row r="100" spans="2:43" x14ac:dyDescent="0.4">
      <c r="B100" t="s">
        <v>74</v>
      </c>
      <c r="C100" t="s">
        <v>207</v>
      </c>
      <c r="D100" t="s">
        <v>102</v>
      </c>
      <c r="E100" t="s">
        <v>201</v>
      </c>
      <c r="F100" s="1">
        <f t="shared" ca="1" si="39"/>
        <v>3884</v>
      </c>
      <c r="G100" s="1" t="str">
        <f>Дума_партии[[#This Row],[Местоположение]]</f>
        <v>Калининец</v>
      </c>
      <c r="H100">
        <v>1966</v>
      </c>
      <c r="I100" s="10">
        <f>Мособлдума_одномандатный[[#This Row],[Число избирателей, внесенных в список на момент окончания голосования]]</f>
        <v>1966</v>
      </c>
      <c r="J100">
        <v>1500</v>
      </c>
      <c r="L100">
        <v>1085</v>
      </c>
      <c r="M100">
        <v>0</v>
      </c>
      <c r="N100" s="3">
        <f t="shared" si="28"/>
        <v>55.188199389623598</v>
      </c>
      <c r="O100" s="3">
        <f t="shared" si="29"/>
        <v>0</v>
      </c>
      <c r="P100">
        <v>415</v>
      </c>
      <c r="Q100">
        <v>0</v>
      </c>
      <c r="R100">
        <v>1085</v>
      </c>
      <c r="S100" s="1">
        <f t="shared" si="30"/>
        <v>1085</v>
      </c>
      <c r="T100" s="3">
        <f t="shared" si="31"/>
        <v>0</v>
      </c>
      <c r="U100">
        <v>5</v>
      </c>
      <c r="V100" s="3">
        <f t="shared" si="32"/>
        <v>0.46082949308755761</v>
      </c>
      <c r="W100">
        <v>1080</v>
      </c>
      <c r="X100">
        <v>0</v>
      </c>
      <c r="Y100">
        <v>0</v>
      </c>
      <c r="Z100">
        <v>131</v>
      </c>
      <c r="AA100" s="3">
        <f t="shared" si="33"/>
        <v>12.073732718894009</v>
      </c>
      <c r="AB100">
        <v>7</v>
      </c>
      <c r="AC100" s="3">
        <f t="shared" si="34"/>
        <v>0.64516129032258063</v>
      </c>
      <c r="AD100">
        <v>11</v>
      </c>
      <c r="AE100" s="3">
        <f t="shared" si="35"/>
        <v>1.0138248847926268</v>
      </c>
      <c r="AF100">
        <v>2</v>
      </c>
      <c r="AG100" s="3">
        <f t="shared" si="36"/>
        <v>0.18433179723502305</v>
      </c>
      <c r="AH100">
        <v>70</v>
      </c>
      <c r="AI100" s="3">
        <f t="shared" si="37"/>
        <v>6.4516129032258061</v>
      </c>
      <c r="AJ100">
        <v>859</v>
      </c>
      <c r="AK100" s="3">
        <f t="shared" si="38"/>
        <v>79.170506912442391</v>
      </c>
      <c r="AL100" t="s">
        <v>208</v>
      </c>
      <c r="AN100"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745.15151515151513</v>
      </c>
      <c r="AO100" s="13">
        <f>2*(Мособлдума_одномандатный[[#This Row],[Рожнов Олег Александрович]]-(AB$124/100)*Мособлдума_одномандатный[[#This Row],[Число действительных бюллетеней]])</f>
        <v>983.59999999999991</v>
      </c>
      <c r="AP100" s="13">
        <f>(Мособлдума_одномандатный[[#This Row],[Вброс]]+Мособлдума_одномандатный[[#This Row],[Перекладывание]])/2</f>
        <v>864.37575757575746</v>
      </c>
      <c r="AQ100" s="13" t="str">
        <f>Дума_партии[[#This Row],[Зона ответственности в сен. 2022 г.]]</f>
        <v>Одинцово КПРФ</v>
      </c>
    </row>
    <row r="101" spans="2:43" x14ac:dyDescent="0.4">
      <c r="B101" t="s">
        <v>74</v>
      </c>
      <c r="C101" t="s">
        <v>207</v>
      </c>
      <c r="D101" t="s">
        <v>102</v>
      </c>
      <c r="E101" t="s">
        <v>202</v>
      </c>
      <c r="F101" s="1">
        <f t="shared" ca="1" si="39"/>
        <v>3885</v>
      </c>
      <c r="G101" s="1" t="str">
        <f>Дума_партии[[#This Row],[Местоположение]]</f>
        <v>Селятино</v>
      </c>
      <c r="H101">
        <v>1171</v>
      </c>
      <c r="I101" s="10">
        <f>Мособлдума_одномандатный[[#This Row],[Число избирателей, внесенных в список на момент окончания голосования]]</f>
        <v>1171</v>
      </c>
      <c r="J101">
        <v>1100</v>
      </c>
      <c r="L101">
        <v>453</v>
      </c>
      <c r="M101">
        <v>10</v>
      </c>
      <c r="N101" s="3">
        <f t="shared" si="28"/>
        <v>39.53885567890692</v>
      </c>
      <c r="O101" s="3">
        <f t="shared" si="29"/>
        <v>0.85397096498719038</v>
      </c>
      <c r="P101">
        <v>637</v>
      </c>
      <c r="Q101">
        <v>10</v>
      </c>
      <c r="R101">
        <v>453</v>
      </c>
      <c r="S101" s="1">
        <f t="shared" si="30"/>
        <v>463</v>
      </c>
      <c r="T101" s="3">
        <f t="shared" si="31"/>
        <v>2.159827213822894</v>
      </c>
      <c r="U101">
        <v>33</v>
      </c>
      <c r="V101" s="3">
        <f t="shared" si="32"/>
        <v>7.1274298056155505</v>
      </c>
      <c r="W101">
        <v>430</v>
      </c>
      <c r="X101">
        <v>0</v>
      </c>
      <c r="Y101">
        <v>0</v>
      </c>
      <c r="Z101">
        <v>101</v>
      </c>
      <c r="AA101" s="3">
        <f t="shared" si="33"/>
        <v>21.814254859611232</v>
      </c>
      <c r="AB101">
        <v>32</v>
      </c>
      <c r="AC101" s="3">
        <f t="shared" si="34"/>
        <v>6.9114470842332612</v>
      </c>
      <c r="AD101">
        <v>50</v>
      </c>
      <c r="AE101" s="3">
        <f t="shared" si="35"/>
        <v>10.799136069114471</v>
      </c>
      <c r="AF101">
        <v>83</v>
      </c>
      <c r="AG101" s="3">
        <f t="shared" si="36"/>
        <v>17.92656587473002</v>
      </c>
      <c r="AH101">
        <v>30</v>
      </c>
      <c r="AI101" s="3">
        <f t="shared" si="37"/>
        <v>6.4794816414686824</v>
      </c>
      <c r="AJ101">
        <v>134</v>
      </c>
      <c r="AK101" s="3">
        <f t="shared" si="38"/>
        <v>28.941684665226781</v>
      </c>
      <c r="AL101" t="s">
        <v>208</v>
      </c>
      <c r="AN101"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-18.484848484848527</v>
      </c>
      <c r="AO101" s="13">
        <f>2*(Мособлдума_одномандатный[[#This Row],[Рожнов Олег Александрович]]-(AB$124/100)*Мособлдума_одномандатный[[#This Row],[Число действительных бюллетеней]])</f>
        <v>-24.400000000000034</v>
      </c>
      <c r="AP101" s="13">
        <f>(Мособлдума_одномандатный[[#This Row],[Вброс]]+Мособлдума_одномандатный[[#This Row],[Перекладывание]])/2</f>
        <v>-21.442424242424281</v>
      </c>
      <c r="AQ101" s="13" t="str">
        <f>Дума_партии[[#This Row],[Зона ответственности в сен. 2022 г.]]</f>
        <v>Одинцово КПРФ</v>
      </c>
    </row>
    <row r="102" spans="2:43" x14ac:dyDescent="0.4">
      <c r="B102" t="s">
        <v>74</v>
      </c>
      <c r="C102" t="s">
        <v>207</v>
      </c>
      <c r="D102" t="s">
        <v>102</v>
      </c>
      <c r="E102" t="s">
        <v>203</v>
      </c>
      <c r="F102" s="1">
        <f t="shared" ca="1" si="39"/>
        <v>4243</v>
      </c>
      <c r="G102" s="1" t="str">
        <f>Дума_партии[[#This Row],[Местоположение]]</f>
        <v>Наро-Фоминск рай. больн.</v>
      </c>
      <c r="H102">
        <v>19</v>
      </c>
      <c r="I102" s="10">
        <f>Мособлдума_одномандатный[[#This Row],[Число избирателей, внесенных в список на момент окончания голосования]]</f>
        <v>19</v>
      </c>
      <c r="J102">
        <v>230</v>
      </c>
      <c r="L102">
        <v>19</v>
      </c>
      <c r="M102">
        <v>0</v>
      </c>
      <c r="N102" s="3">
        <f t="shared" si="28"/>
        <v>100</v>
      </c>
      <c r="O102" s="3">
        <f t="shared" si="29"/>
        <v>0</v>
      </c>
      <c r="P102">
        <v>211</v>
      </c>
      <c r="Q102">
        <v>0</v>
      </c>
      <c r="R102">
        <v>19</v>
      </c>
      <c r="S102" s="1">
        <f t="shared" si="30"/>
        <v>19</v>
      </c>
      <c r="T102" s="3">
        <f t="shared" si="31"/>
        <v>0</v>
      </c>
      <c r="U102">
        <v>0</v>
      </c>
      <c r="V102" s="3">
        <f t="shared" si="32"/>
        <v>0</v>
      </c>
      <c r="W102">
        <v>19</v>
      </c>
      <c r="X102">
        <v>0</v>
      </c>
      <c r="Y102">
        <v>0</v>
      </c>
      <c r="Z102">
        <v>2</v>
      </c>
      <c r="AA102" s="3">
        <f t="shared" si="33"/>
        <v>10.526315789473685</v>
      </c>
      <c r="AB102">
        <v>0</v>
      </c>
      <c r="AC102" s="3">
        <f t="shared" si="34"/>
        <v>0</v>
      </c>
      <c r="AD102">
        <v>3</v>
      </c>
      <c r="AE102" s="3">
        <f t="shared" si="35"/>
        <v>15.789473684210526</v>
      </c>
      <c r="AF102">
        <v>2</v>
      </c>
      <c r="AG102" s="3">
        <f t="shared" si="36"/>
        <v>10.526315789473685</v>
      </c>
      <c r="AH102">
        <v>0</v>
      </c>
      <c r="AI102" s="3">
        <f t="shared" si="37"/>
        <v>0</v>
      </c>
      <c r="AJ102">
        <v>12</v>
      </c>
      <c r="AK102" s="3">
        <f t="shared" si="38"/>
        <v>63.157894736842103</v>
      </c>
      <c r="AL102" t="s">
        <v>208</v>
      </c>
      <c r="AN102"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8.3939393939393927</v>
      </c>
      <c r="AO102" s="13">
        <f>2*(Мособлдума_одномандатный[[#This Row],[Рожнов Олег Александрович]]-(AB$124/100)*Мособлдума_одномандатный[[#This Row],[Число действительных бюллетеней]])</f>
        <v>11.079999999999998</v>
      </c>
      <c r="AP102" s="13">
        <f>(Мособлдума_одномандатный[[#This Row],[Вброс]]+Мособлдума_одномандатный[[#This Row],[Перекладывание]])/2</f>
        <v>9.7369696969696946</v>
      </c>
      <c r="AQ102" s="13">
        <f>Дума_партии[[#This Row],[Зона ответственности в сен. 2022 г.]]</f>
        <v>0</v>
      </c>
    </row>
    <row r="103" spans="2:43" x14ac:dyDescent="0.4">
      <c r="B103" t="s">
        <v>74</v>
      </c>
      <c r="C103" t="s">
        <v>207</v>
      </c>
      <c r="D103" t="s">
        <v>102</v>
      </c>
      <c r="E103" t="s">
        <v>204</v>
      </c>
      <c r="F103" s="1">
        <f t="shared" ca="1" si="39"/>
        <v>4250</v>
      </c>
      <c r="G103" s="1" t="str">
        <f>Дума_партии[[#This Row],[Местоположение]]</f>
        <v>Каменское обл. психбольн.</v>
      </c>
      <c r="H103">
        <v>176</v>
      </c>
      <c r="I103" s="10">
        <f>Мособлдума_одномандатный[[#This Row],[Число избирателей, внесенных в список на момент окончания голосования]]</f>
        <v>176</v>
      </c>
      <c r="J103">
        <v>270</v>
      </c>
      <c r="L103">
        <v>141</v>
      </c>
      <c r="M103">
        <v>0</v>
      </c>
      <c r="N103" s="3">
        <f t="shared" si="28"/>
        <v>80.11363636363636</v>
      </c>
      <c r="O103" s="3">
        <f t="shared" si="29"/>
        <v>0</v>
      </c>
      <c r="P103">
        <v>129</v>
      </c>
      <c r="Q103">
        <v>0</v>
      </c>
      <c r="R103">
        <v>141</v>
      </c>
      <c r="S103" s="1">
        <f t="shared" si="30"/>
        <v>141</v>
      </c>
      <c r="T103" s="3">
        <f t="shared" si="31"/>
        <v>0</v>
      </c>
      <c r="U103">
        <v>9</v>
      </c>
      <c r="V103" s="3">
        <f t="shared" si="32"/>
        <v>6.3829787234042552</v>
      </c>
      <c r="W103">
        <v>132</v>
      </c>
      <c r="X103">
        <v>0</v>
      </c>
      <c r="Y103">
        <v>0</v>
      </c>
      <c r="Z103">
        <v>6</v>
      </c>
      <c r="AA103" s="3">
        <f t="shared" si="33"/>
        <v>4.2553191489361701</v>
      </c>
      <c r="AB103">
        <v>6</v>
      </c>
      <c r="AC103" s="3">
        <f t="shared" si="34"/>
        <v>4.2553191489361701</v>
      </c>
      <c r="AD103">
        <v>0</v>
      </c>
      <c r="AE103" s="3">
        <f t="shared" si="35"/>
        <v>0</v>
      </c>
      <c r="AF103">
        <v>3</v>
      </c>
      <c r="AG103" s="3">
        <f t="shared" si="36"/>
        <v>2.1276595744680851</v>
      </c>
      <c r="AH103">
        <v>5</v>
      </c>
      <c r="AI103" s="3">
        <f t="shared" si="37"/>
        <v>3.5460992907801416</v>
      </c>
      <c r="AJ103">
        <v>112</v>
      </c>
      <c r="AK103" s="3">
        <f t="shared" si="38"/>
        <v>79.432624113475171</v>
      </c>
      <c r="AL103" t="s">
        <v>208</v>
      </c>
      <c r="AN103"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101.69696969696969</v>
      </c>
      <c r="AO103" s="13">
        <f>2*(Мособлдума_одномандатный[[#This Row],[Рожнов Олег Александрович]]-(AB$124/100)*Мособлдума_одномандатный[[#This Row],[Число действительных бюллетеней]])</f>
        <v>134.24</v>
      </c>
      <c r="AP103" s="13">
        <f>(Мособлдума_одномандатный[[#This Row],[Вброс]]+Мособлдума_одномандатный[[#This Row],[Перекладывание]])/2</f>
        <v>117.96848484848485</v>
      </c>
      <c r="AQ103" s="13">
        <f>Дума_партии[[#This Row],[Зона ответственности в сен. 2022 г.]]</f>
        <v>0</v>
      </c>
    </row>
    <row r="104" spans="2:43" x14ac:dyDescent="0.4">
      <c r="B104" t="s">
        <v>74</v>
      </c>
      <c r="C104" t="s">
        <v>207</v>
      </c>
      <c r="D104" t="s">
        <v>102</v>
      </c>
      <c r="E104" t="s">
        <v>205</v>
      </c>
      <c r="F104" s="1">
        <f t="shared" ca="1" si="39"/>
        <v>4251</v>
      </c>
      <c r="G104" s="1" t="str">
        <f>Дума_партии[[#This Row],[Местоположение]]</f>
        <v>Наро-Фоминск роддом</v>
      </c>
      <c r="H104">
        <v>113</v>
      </c>
      <c r="I104" s="10">
        <f>Мособлдума_одномандатный[[#This Row],[Число избирателей, внесенных в список на момент окончания голосования]]</f>
        <v>113</v>
      </c>
      <c r="J104">
        <v>210</v>
      </c>
      <c r="L104">
        <v>83</v>
      </c>
      <c r="M104">
        <v>26</v>
      </c>
      <c r="N104" s="3">
        <f t="shared" ref="N104:N105" si="40">100*(L104+M104)/H104</f>
        <v>96.460176991150448</v>
      </c>
      <c r="O104" s="3">
        <f t="shared" si="29"/>
        <v>23.008849557522122</v>
      </c>
      <c r="P104">
        <v>101</v>
      </c>
      <c r="Q104">
        <v>26</v>
      </c>
      <c r="R104">
        <v>83</v>
      </c>
      <c r="S104" s="1">
        <f t="shared" ref="S104:S105" si="41">Q104+R104</f>
        <v>109</v>
      </c>
      <c r="T104" s="3">
        <f t="shared" ref="T104:T105" si="42">100*Q104/S104</f>
        <v>23.853211009174313</v>
      </c>
      <c r="U104">
        <v>4</v>
      </c>
      <c r="V104" s="3">
        <f t="shared" ref="V104:V105" si="43">100*U104/S104</f>
        <v>3.669724770642202</v>
      </c>
      <c r="W104">
        <v>105</v>
      </c>
      <c r="X104">
        <v>0</v>
      </c>
      <c r="Y104">
        <v>0</v>
      </c>
      <c r="Z104">
        <v>17</v>
      </c>
      <c r="AA104" s="3">
        <f t="shared" ref="AA104:AA105" si="44">100*Z104/$S104</f>
        <v>15.596330275229358</v>
      </c>
      <c r="AB104">
        <v>12</v>
      </c>
      <c r="AC104" s="3">
        <f t="shared" ref="AC104:AC105" si="45">100*AB104/$S104</f>
        <v>11.009174311926605</v>
      </c>
      <c r="AD104">
        <v>5</v>
      </c>
      <c r="AE104" s="3">
        <f t="shared" ref="AE104:AE105" si="46">100*AD104/$S104</f>
        <v>4.5871559633027523</v>
      </c>
      <c r="AF104">
        <v>8</v>
      </c>
      <c r="AG104" s="3">
        <f t="shared" ref="AG104:AG105" si="47">100*AF104/$S104</f>
        <v>7.3394495412844041</v>
      </c>
      <c r="AH104">
        <v>13</v>
      </c>
      <c r="AI104" s="3">
        <f t="shared" ref="AI104:AI105" si="48">100*AH104/$S104</f>
        <v>11.926605504587156</v>
      </c>
      <c r="AJ104">
        <v>50</v>
      </c>
      <c r="AK104" s="3">
        <f t="shared" ref="AK104:AK105" si="49">100*AJ104/$S104</f>
        <v>45.871559633027523</v>
      </c>
      <c r="AL104" t="s">
        <v>208</v>
      </c>
      <c r="AN104"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21.666666666666661</v>
      </c>
      <c r="AO104" s="13">
        <f>2*(Мособлдума_одномандатный[[#This Row],[Рожнов Олег Александрович]]-(AB$124/100)*Мособлдума_одномандатный[[#This Row],[Число действительных бюллетеней]])</f>
        <v>28.599999999999994</v>
      </c>
      <c r="AP104" s="13">
        <f>(Мособлдума_одномандатный[[#This Row],[Вброс]]+Мособлдума_одномандатный[[#This Row],[Перекладывание]])/2</f>
        <v>25.133333333333326</v>
      </c>
      <c r="AQ104" s="13">
        <f>Дума_партии[[#This Row],[Зона ответственности в сен. 2022 г.]]</f>
        <v>0</v>
      </c>
    </row>
    <row r="105" spans="2:43" x14ac:dyDescent="0.4">
      <c r="B105" t="s">
        <v>74</v>
      </c>
      <c r="C105" t="s">
        <v>207</v>
      </c>
      <c r="D105" t="s">
        <v>102</v>
      </c>
      <c r="E105" t="s">
        <v>206</v>
      </c>
      <c r="F105" s="1">
        <f t="shared" ca="1" si="39"/>
        <v>4252</v>
      </c>
      <c r="G105" s="1" t="str">
        <f>Дума_партии[[#This Row],[Местоположение]]</f>
        <v>Александровка псих. интернат</v>
      </c>
      <c r="H105">
        <v>162</v>
      </c>
      <c r="I105" s="10">
        <f>Мособлдума_одномандатный[[#This Row],[Число избирателей, внесенных в список на момент окончания голосования]]</f>
        <v>162</v>
      </c>
      <c r="J105">
        <v>280</v>
      </c>
      <c r="L105">
        <v>146</v>
      </c>
      <c r="M105">
        <v>0</v>
      </c>
      <c r="N105" s="3">
        <f t="shared" si="40"/>
        <v>90.123456790123456</v>
      </c>
      <c r="O105" s="3">
        <f t="shared" si="29"/>
        <v>0</v>
      </c>
      <c r="P105">
        <v>134</v>
      </c>
      <c r="Q105">
        <v>0</v>
      </c>
      <c r="R105">
        <v>146</v>
      </c>
      <c r="S105" s="1">
        <f t="shared" si="41"/>
        <v>146</v>
      </c>
      <c r="T105" s="3">
        <f t="shared" si="42"/>
        <v>0</v>
      </c>
      <c r="U105">
        <v>8</v>
      </c>
      <c r="V105" s="3">
        <f t="shared" si="43"/>
        <v>5.4794520547945202</v>
      </c>
      <c r="W105">
        <v>138</v>
      </c>
      <c r="X105">
        <v>0</v>
      </c>
      <c r="Y105">
        <v>0</v>
      </c>
      <c r="Z105">
        <v>15</v>
      </c>
      <c r="AA105" s="3">
        <f t="shared" si="44"/>
        <v>10.273972602739725</v>
      </c>
      <c r="AB105">
        <v>11</v>
      </c>
      <c r="AC105" s="3">
        <f t="shared" si="45"/>
        <v>7.5342465753424657</v>
      </c>
      <c r="AD105">
        <v>11</v>
      </c>
      <c r="AE105" s="3">
        <f t="shared" si="46"/>
        <v>7.5342465753424657</v>
      </c>
      <c r="AF105">
        <v>9</v>
      </c>
      <c r="AG105" s="3">
        <f t="shared" si="47"/>
        <v>6.1643835616438354</v>
      </c>
      <c r="AH105">
        <v>7</v>
      </c>
      <c r="AI105" s="3">
        <f t="shared" si="48"/>
        <v>4.7945205479452051</v>
      </c>
      <c r="AJ105">
        <v>85</v>
      </c>
      <c r="AK105" s="3">
        <f t="shared" si="49"/>
        <v>58.219178082191782</v>
      </c>
      <c r="AL105" t="s">
        <v>208</v>
      </c>
      <c r="AN105" s="13">
        <f>Мособлдума_одномандатный[[#This Row],[Рожнов Олег Александрович]]-((AB$124/100)/(1-(AB$124/100)))*(Мособлдума_одномандатный[[#This Row],[Число действительных бюллетеней]]-Мособлдума_одномандатный[[#This Row],[Рожнов Олег Александрович]])</f>
        <v>57.696969696969688</v>
      </c>
      <c r="AO105" s="13">
        <f>2*(Мособлдума_одномандатный[[#This Row],[Рожнов Олег Александрович]]-(AB$124/100)*Мособлдума_одномандатный[[#This Row],[Число действительных бюллетеней]])</f>
        <v>76.16</v>
      </c>
      <c r="AP105" s="13">
        <f>(Мособлдума_одномандатный[[#This Row],[Вброс]]+Мособлдума_одномандатный[[#This Row],[Перекладывание]])/2</f>
        <v>66.928484848484842</v>
      </c>
      <c r="AQ105" s="13">
        <f>Дума_партии[[#This Row],[Зона ответственности в сен. 2022 г.]]</f>
        <v>0</v>
      </c>
    </row>
    <row r="106" spans="2:43" x14ac:dyDescent="0.4">
      <c r="B106" s="1" t="s">
        <v>95</v>
      </c>
      <c r="F106" s="1">
        <f ca="1">SUBTOTAL(103,Мособлдума_одномандатный[УИК])</f>
        <v>104</v>
      </c>
      <c r="H106" s="1">
        <f>SUBTOTAL(109,Мособлдума_одномандатный[Число избирателей, внесенных в список на момент окончания голосования])</f>
        <v>129204</v>
      </c>
      <c r="L106" s="1">
        <f>SUBTOTAL(109,Мособлдума_одномандатный[Число бюллетеней, выданных избирателям в помещении для голосования в день голосования])</f>
        <v>51744</v>
      </c>
      <c r="M106" s="1">
        <f>SUBTOTAL(109,Мособлдума_одномандатный[Число бюллетеней, выданных избирателям, проголосовавшим вне помещения для голосования в день голосо])</f>
        <v>5428</v>
      </c>
      <c r="N106" s="1"/>
      <c r="O106" s="1"/>
      <c r="S106" s="1">
        <f>SUBTOTAL(109,Мособлдума_одномандатный[Обнаружено])</f>
        <v>57152</v>
      </c>
      <c r="T106" s="1"/>
      <c r="V106" s="1"/>
      <c r="Z106" s="1">
        <f>SUBTOTAL(109,Мособлдума_одномандатный[Вавилов Игорь Васильевич])</f>
        <v>10533</v>
      </c>
      <c r="AA106" s="1"/>
      <c r="AB106" s="1">
        <f>SUBTOTAL(109,Мособлдума_одномандатный[Дорогих Иван Михайлович])</f>
        <v>3834</v>
      </c>
      <c r="AC106" s="1"/>
      <c r="AD106" s="1">
        <f>SUBTOTAL(109,Мособлдума_одномандатный[Марушкин Олег Генадиевич])</f>
        <v>4596</v>
      </c>
      <c r="AE106" s="1"/>
      <c r="AF106" s="1">
        <f>SUBTOTAL(109,Мособлдума_одномандатный[Павлова Татьяна Михайловна])</f>
        <v>4952</v>
      </c>
      <c r="AG106" s="1"/>
      <c r="AH106" s="1">
        <f>SUBTOTAL(109,Мособлдума_одномандатный[Пархоменко Дмитрий Владимирович])</f>
        <v>4600</v>
      </c>
      <c r="AI106" s="1"/>
      <c r="AJ106" s="1">
        <f>SUBTOTAL(109,Мособлдума_одномандатный[Рожнов Олег Александрович])</f>
        <v>25216</v>
      </c>
      <c r="AK106" s="1"/>
      <c r="AN106" s="13">
        <f>SUBTOTAL(109,Мособлдума_одномандатный[Вброс])</f>
        <v>10526.454545454544</v>
      </c>
      <c r="AO106" s="13">
        <f>SUBTOTAL(109,Мособлдума_одномандатный[Перекладывание])</f>
        <v>13894.919999999996</v>
      </c>
      <c r="AP106" s="13">
        <f>SUBTOTAL(109,Мособлдума_одномандатный[Оценка числа бюллетеней, сфальсифицированных в пользу ЕР])</f>
        <v>12210.687272727269</v>
      </c>
    </row>
    <row r="107" spans="2:43" x14ac:dyDescent="0.4">
      <c r="B107" s="3"/>
      <c r="C107" s="3"/>
      <c r="D107" s="3"/>
      <c r="E107" s="3"/>
      <c r="F107" s="3"/>
      <c r="G107" s="3"/>
      <c r="H107" s="3"/>
      <c r="I107" s="3"/>
      <c r="J107" s="3"/>
      <c r="K107" s="3"/>
      <c r="L107" s="3" t="s">
        <v>52</v>
      </c>
      <c r="M107" s="3">
        <f>100*(L106+M106)/H106</f>
        <v>44.249404043218476</v>
      </c>
      <c r="P107" s="3"/>
      <c r="Q107" s="3"/>
      <c r="R107" s="3"/>
      <c r="S107" s="3"/>
      <c r="U107" s="3"/>
      <c r="W107" s="3"/>
      <c r="X107" s="3"/>
      <c r="Y107" s="3"/>
      <c r="Z107" s="3">
        <f>100*Z106/$S106</f>
        <v>18.429801231802912</v>
      </c>
      <c r="AB107" s="3">
        <f>100*AB106/$S106</f>
        <v>6.7084266517357225</v>
      </c>
      <c r="AD107" s="3">
        <f>100*AD106/$S106</f>
        <v>8.0417133258678604</v>
      </c>
      <c r="AF107" s="3">
        <f>100*AF106/$S106</f>
        <v>8.6646136618141103</v>
      </c>
      <c r="AH107" s="3">
        <f>100*AH106/$S106</f>
        <v>8.048712206047032</v>
      </c>
      <c r="AJ107" s="3">
        <f>100*AJ106/$S106</f>
        <v>44.120940649496077</v>
      </c>
      <c r="AL107" s="3"/>
      <c r="AM107" s="3"/>
      <c r="AN107" s="3">
        <f>AN106*100/Мособлдума_одномандатный[[#Totals],[Рожнов Олег Александрович]]</f>
        <v>41.745140170742957</v>
      </c>
      <c r="AO107" s="3">
        <f>AO106*100/Мособлдума_одномандатный[[#Totals],[Рожнов Олег Александрович]]</f>
        <v>55.103585025380696</v>
      </c>
      <c r="AP107" s="3">
        <f>AP106*100/Мособлдума_одномандатный[[#Totals],[Рожнов Олег Александрович]]</f>
        <v>48.424362598061819</v>
      </c>
    </row>
    <row r="123" spans="28:28" x14ac:dyDescent="0.4">
      <c r="AB123" s="1" t="s">
        <v>227</v>
      </c>
    </row>
    <row r="124" spans="28:28" x14ac:dyDescent="0.4">
      <c r="AB124" s="12">
        <v>34</v>
      </c>
    </row>
    <row r="142" spans="28:28" x14ac:dyDescent="0.4">
      <c r="AB142" s="1" t="s">
        <v>297</v>
      </c>
    </row>
    <row r="143" spans="28:28" x14ac:dyDescent="0.4">
      <c r="AB143" s="1">
        <f>MAX($I2:$I105)</f>
        <v>3346</v>
      </c>
    </row>
  </sheetData>
  <phoneticPr fontId="3" type="noConversion"/>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A08BB-941C-4197-9B6A-06D28E08EDF4}">
  <dimension ref="A1:J107"/>
  <sheetViews>
    <sheetView zoomScale="70" zoomScaleNormal="70" workbookViewId="0">
      <pane ySplit="1" topLeftCell="A2" activePane="bottomLeft" state="frozen"/>
      <selection pane="bottomLeft" activeCell="H2" sqref="H2"/>
    </sheetView>
  </sheetViews>
  <sheetFormatPr defaultRowHeight="14.15" x14ac:dyDescent="0.4"/>
  <cols>
    <col min="1" max="1" width="6.23046875" style="1" customWidth="1"/>
    <col min="2" max="2" width="27.84375" style="1" customWidth="1"/>
    <col min="3" max="3" width="12.07421875" style="1" customWidth="1"/>
    <col min="4" max="7" width="22.3828125" style="13" customWidth="1"/>
    <col min="8" max="8" width="22.3828125" style="21" customWidth="1"/>
    <col min="9" max="9" width="40.3046875" style="13" bestFit="1" customWidth="1"/>
    <col min="10" max="10" width="67.4609375" style="1" bestFit="1" customWidth="1"/>
    <col min="11" max="16384" width="9.23046875" style="1"/>
  </cols>
  <sheetData>
    <row r="1" spans="1:10" s="20" customFormat="1" x14ac:dyDescent="0.4">
      <c r="A1" s="16" t="s">
        <v>98</v>
      </c>
      <c r="B1" s="16" t="s">
        <v>99</v>
      </c>
      <c r="C1" s="17" t="s">
        <v>262</v>
      </c>
      <c r="D1" s="18" t="s">
        <v>257</v>
      </c>
      <c r="E1" s="18" t="s">
        <v>258</v>
      </c>
      <c r="F1" s="18" t="s">
        <v>259</v>
      </c>
      <c r="G1" s="18" t="s">
        <v>260</v>
      </c>
      <c r="H1" s="19" t="s">
        <v>261</v>
      </c>
      <c r="I1" s="18" t="s">
        <v>263</v>
      </c>
      <c r="J1" s="17" t="s">
        <v>279</v>
      </c>
    </row>
    <row r="2" spans="1:10" x14ac:dyDescent="0.4">
      <c r="A2" s="1">
        <v>1768</v>
      </c>
      <c r="B2" s="1" t="s">
        <v>228</v>
      </c>
      <c r="C2" s="1">
        <v>2262</v>
      </c>
      <c r="D2" s="13">
        <v>992.18666666666661</v>
      </c>
      <c r="E2" s="13">
        <v>929.0545454545454</v>
      </c>
      <c r="F2" s="13">
        <v>911.61939393939383</v>
      </c>
      <c r="G2" s="13">
        <v>929.82787878787872</v>
      </c>
      <c r="H2" s="21">
        <f>AVERAGE(Оценка_фальсификаций[[#This Row],[Ф. дума партии]:[Ф. мособлдума одномандатный]])</f>
        <v>940.67212121212106</v>
      </c>
      <c r="I2" t="s">
        <v>264</v>
      </c>
      <c r="J2" s="13" t="s">
        <v>292</v>
      </c>
    </row>
    <row r="3" spans="1:10" x14ac:dyDescent="0.4">
      <c r="A3" s="1">
        <v>3884</v>
      </c>
      <c r="B3" s="1" t="s">
        <v>235</v>
      </c>
      <c r="C3" s="1">
        <v>2020</v>
      </c>
      <c r="D3" s="13">
        <v>698.9878787878788</v>
      </c>
      <c r="E3" s="13">
        <v>785.91757575757572</v>
      </c>
      <c r="F3" s="13">
        <v>858.92727272727279</v>
      </c>
      <c r="G3" s="13">
        <v>864.37575757575746</v>
      </c>
      <c r="H3" s="21">
        <f>AVERAGE(Оценка_фальсификаций[[#This Row],[Ф. дума партии]:[Ф. мособлдума одномандатный]])</f>
        <v>802.05212121212116</v>
      </c>
      <c r="I3" t="s">
        <v>265</v>
      </c>
      <c r="J3" s="13" t="s">
        <v>266</v>
      </c>
    </row>
    <row r="4" spans="1:10" x14ac:dyDescent="0.4">
      <c r="A4" s="1">
        <v>1764</v>
      </c>
      <c r="B4" s="1" t="s">
        <v>228</v>
      </c>
      <c r="C4" s="1">
        <v>2052</v>
      </c>
      <c r="D4" s="13">
        <v>699.12848484848485</v>
      </c>
      <c r="E4" s="13">
        <v>692.87151515151504</v>
      </c>
      <c r="F4" s="13">
        <v>704.4012121212121</v>
      </c>
      <c r="G4" s="13">
        <v>703.41696969696966</v>
      </c>
      <c r="H4" s="21">
        <f>AVERAGE(Оценка_фальсификаций[[#This Row],[Ф. дума партии]:[Ф. мособлдума одномандатный]])</f>
        <v>699.9545454545455</v>
      </c>
      <c r="I4" t="s">
        <v>267</v>
      </c>
      <c r="J4" s="13" t="s">
        <v>268</v>
      </c>
    </row>
    <row r="5" spans="1:10" x14ac:dyDescent="0.4">
      <c r="A5" s="10">
        <v>1772</v>
      </c>
      <c r="B5" s="1" t="s">
        <v>228</v>
      </c>
      <c r="C5" s="1">
        <v>2083</v>
      </c>
      <c r="D5" s="13">
        <v>595.04484848484844</v>
      </c>
      <c r="E5" s="13">
        <v>468.35878787878778</v>
      </c>
      <c r="F5" s="13">
        <v>397.98545454545444</v>
      </c>
      <c r="G5" s="13">
        <v>267.01090909090902</v>
      </c>
      <c r="H5" s="21">
        <f>AVERAGE(Оценка_фальсификаций[[#This Row],[Ф. дума партии]:[Ф. мособлдума одномандатный]])</f>
        <v>432.09999999999991</v>
      </c>
      <c r="I5" t="s">
        <v>269</v>
      </c>
      <c r="J5" s="13" t="s">
        <v>291</v>
      </c>
    </row>
    <row r="6" spans="1:10" x14ac:dyDescent="0.4">
      <c r="A6" s="1">
        <v>3882</v>
      </c>
      <c r="B6" s="1" t="s">
        <v>235</v>
      </c>
      <c r="C6" s="1">
        <v>3388</v>
      </c>
      <c r="D6" s="13">
        <v>605.59030303030295</v>
      </c>
      <c r="E6" s="13">
        <v>555.11272727272717</v>
      </c>
      <c r="F6" s="13">
        <v>335.2399999999999</v>
      </c>
      <c r="G6" s="13">
        <v>184.01818181818177</v>
      </c>
      <c r="H6" s="21">
        <f>AVERAGE(Оценка_фальсификаций[[#This Row],[Ф. дума партии]:[Ф. мособлдума одномандатный]])</f>
        <v>419.99030303030293</v>
      </c>
      <c r="I6" t="s">
        <v>270</v>
      </c>
      <c r="J6" s="13" t="s">
        <v>271</v>
      </c>
    </row>
    <row r="7" spans="1:10" x14ac:dyDescent="0.4">
      <c r="A7" s="10">
        <v>1824</v>
      </c>
      <c r="B7" s="1" t="s">
        <v>247</v>
      </c>
      <c r="C7" s="1">
        <v>1092</v>
      </c>
      <c r="D7" s="13">
        <v>414.19030303030303</v>
      </c>
      <c r="E7" s="13">
        <v>406.70303030303029</v>
      </c>
      <c r="F7" s="13">
        <v>400.16484848484845</v>
      </c>
      <c r="G7" s="13">
        <v>392.08</v>
      </c>
      <c r="H7" s="21">
        <f>AVERAGE(Оценка_фальсификаций[[#This Row],[Ф. дума партии]:[Ф. мособлдума одномандатный]])</f>
        <v>403.28454545454542</v>
      </c>
      <c r="I7" t="s">
        <v>272</v>
      </c>
      <c r="J7" s="13" t="s">
        <v>273</v>
      </c>
    </row>
    <row r="8" spans="1:10" x14ac:dyDescent="0.4">
      <c r="A8" s="1">
        <v>1769</v>
      </c>
      <c r="B8" s="1" t="s">
        <v>228</v>
      </c>
      <c r="C8" s="1">
        <v>1797</v>
      </c>
      <c r="D8" s="13">
        <v>570.29818181818177</v>
      </c>
      <c r="E8" s="13">
        <v>460.02787878787871</v>
      </c>
      <c r="F8" s="13">
        <v>273.90060606060604</v>
      </c>
      <c r="G8" s="13">
        <v>280.33333333333331</v>
      </c>
      <c r="H8" s="21">
        <f>AVERAGE(Оценка_фальсификаций[[#This Row],[Ф. дума партии]:[Ф. мособлдума одномандатный]])</f>
        <v>396.13999999999993</v>
      </c>
      <c r="I8" t="s">
        <v>274</v>
      </c>
      <c r="J8" s="13" t="s">
        <v>275</v>
      </c>
    </row>
    <row r="9" spans="1:10" x14ac:dyDescent="0.4">
      <c r="A9" s="1">
        <v>1800</v>
      </c>
      <c r="B9" s="1" t="s">
        <v>235</v>
      </c>
      <c r="C9" s="1">
        <v>1667</v>
      </c>
      <c r="D9" s="13">
        <v>454.82545454545448</v>
      </c>
      <c r="E9" s="13">
        <v>413.55757575757571</v>
      </c>
      <c r="F9" s="13">
        <v>420.44727272727266</v>
      </c>
      <c r="G9" s="13">
        <v>240.75272727272721</v>
      </c>
      <c r="H9" s="21">
        <f>AVERAGE(Оценка_фальсификаций[[#This Row],[Ф. дума партии]:[Ф. мособлдума одномандатный]])</f>
        <v>382.3957575757575</v>
      </c>
      <c r="I9" t="s">
        <v>276</v>
      </c>
      <c r="J9" s="13" t="s">
        <v>277</v>
      </c>
    </row>
    <row r="10" spans="1:10" x14ac:dyDescent="0.4">
      <c r="A10" s="10">
        <v>1789</v>
      </c>
      <c r="B10" s="1" t="s">
        <v>231</v>
      </c>
      <c r="C10" s="1">
        <v>3186</v>
      </c>
      <c r="D10" s="13">
        <v>347.40242424242422</v>
      </c>
      <c r="E10" s="13">
        <v>429.44606060606054</v>
      </c>
      <c r="F10" s="13">
        <v>283.14545454545453</v>
      </c>
      <c r="G10" s="13">
        <v>374.36363636363637</v>
      </c>
      <c r="H10" s="21">
        <f>AVERAGE(Оценка_фальсификаций[[#This Row],[Ф. дума партии]:[Ф. мособлдума одномандатный]])</f>
        <v>358.58939393939397</v>
      </c>
      <c r="I10" t="s">
        <v>278</v>
      </c>
      <c r="J10" s="13"/>
    </row>
    <row r="11" spans="1:10" x14ac:dyDescent="0.4">
      <c r="A11" s="10">
        <v>1777</v>
      </c>
      <c r="B11" s="1" t="s">
        <v>231</v>
      </c>
      <c r="C11" s="1">
        <v>1049</v>
      </c>
      <c r="D11" s="13">
        <v>369.89939393939392</v>
      </c>
      <c r="E11" s="13">
        <v>357.20969696969695</v>
      </c>
      <c r="F11" s="13">
        <v>319.77333333333331</v>
      </c>
      <c r="G11" s="13">
        <v>367.82545454545448</v>
      </c>
      <c r="H11" s="21">
        <f>AVERAGE(Оценка_фальсификаций[[#This Row],[Ф. дума партии]:[Ф. мособлдума одномандатный]])</f>
        <v>353.67696969696965</v>
      </c>
      <c r="I11" t="s">
        <v>280</v>
      </c>
      <c r="J11" s="13" t="s">
        <v>293</v>
      </c>
    </row>
    <row r="12" spans="1:10" x14ac:dyDescent="0.4">
      <c r="A12" s="10">
        <v>3877</v>
      </c>
      <c r="B12" s="1" t="s">
        <v>228</v>
      </c>
      <c r="C12" s="1">
        <v>1280</v>
      </c>
      <c r="D12" s="13">
        <v>313.05939393939389</v>
      </c>
      <c r="E12" s="13">
        <v>314.9224242424242</v>
      </c>
      <c r="F12" s="13">
        <v>310.80969696969692</v>
      </c>
      <c r="G12" s="13">
        <v>353.62424242424242</v>
      </c>
      <c r="H12" s="21">
        <f>AVERAGE(Оценка_фальсификаций[[#This Row],[Ф. дума партии]:[Ф. мособлдума одномандатный]])</f>
        <v>323.10393939393936</v>
      </c>
      <c r="I12" t="s">
        <v>281</v>
      </c>
      <c r="J12" s="13" t="s">
        <v>294</v>
      </c>
    </row>
    <row r="13" spans="1:10" x14ac:dyDescent="0.4">
      <c r="A13" s="10">
        <v>1780</v>
      </c>
      <c r="B13" s="1" t="s">
        <v>231</v>
      </c>
      <c r="C13" s="1">
        <v>970</v>
      </c>
      <c r="D13" s="13">
        <v>304.27151515151513</v>
      </c>
      <c r="E13" s="13">
        <v>254.18060606060601</v>
      </c>
      <c r="F13" s="13">
        <v>339.42303030303026</v>
      </c>
      <c r="G13" s="13">
        <v>385.99878787878788</v>
      </c>
      <c r="H13" s="21">
        <f>AVERAGE(Оценка_фальсификаций[[#This Row],[Ф. дума партии]:[Ф. мособлдума одномандатный]])</f>
        <v>320.96848484848482</v>
      </c>
      <c r="I13" t="s">
        <v>282</v>
      </c>
      <c r="J13" s="13" t="s">
        <v>295</v>
      </c>
    </row>
    <row r="14" spans="1:10" x14ac:dyDescent="0.4">
      <c r="A14" s="1">
        <v>1779</v>
      </c>
      <c r="B14" s="1" t="s">
        <v>231</v>
      </c>
      <c r="C14" s="1">
        <v>1100</v>
      </c>
      <c r="D14" s="13">
        <v>322.90181818181816</v>
      </c>
      <c r="E14" s="13">
        <v>304.34181818181821</v>
      </c>
      <c r="F14" s="13">
        <v>321.9527272727272</v>
      </c>
      <c r="G14" s="13">
        <v>329.12363636363636</v>
      </c>
      <c r="H14" s="21">
        <f>AVERAGE(Оценка_фальсификаций[[#This Row],[Ф. дума партии]:[Ф. мособлдума одномандатный]])</f>
        <v>319.58</v>
      </c>
      <c r="I14" t="s">
        <v>283</v>
      </c>
      <c r="J14" s="13"/>
    </row>
    <row r="15" spans="1:10" x14ac:dyDescent="0.4">
      <c r="A15" s="1">
        <v>1798</v>
      </c>
      <c r="B15" s="1" t="s">
        <v>235</v>
      </c>
      <c r="C15" s="1">
        <v>1941</v>
      </c>
      <c r="D15" s="13">
        <v>379.84727272727264</v>
      </c>
      <c r="E15" s="13">
        <v>385.99878787878782</v>
      </c>
      <c r="F15" s="13">
        <v>315.73090909090905</v>
      </c>
      <c r="G15" s="13">
        <v>182.43636363636355</v>
      </c>
      <c r="H15" s="21">
        <f>AVERAGE(Оценка_фальсификаций[[#This Row],[Ф. дума партии]:[Ф. мособлдума одномандатный]])</f>
        <v>316.00333333333327</v>
      </c>
      <c r="I15" t="s">
        <v>284</v>
      </c>
      <c r="J15" s="13" t="s">
        <v>285</v>
      </c>
    </row>
    <row r="16" spans="1:10" x14ac:dyDescent="0.4">
      <c r="A16" s="10">
        <v>1778</v>
      </c>
      <c r="B16" s="1" t="s">
        <v>231</v>
      </c>
      <c r="C16" s="1">
        <v>1019</v>
      </c>
      <c r="D16" s="13">
        <v>327.71757575757573</v>
      </c>
      <c r="E16" s="13">
        <v>290.07030303030302</v>
      </c>
      <c r="F16" s="13">
        <v>324.30787878787874</v>
      </c>
      <c r="G16" s="13">
        <v>304.20121212121211</v>
      </c>
      <c r="H16" s="21">
        <f>AVERAGE(Оценка_фальсификаций[[#This Row],[Ф. дума партии]:[Ф. мособлдума одномандатный]])</f>
        <v>311.57424242424241</v>
      </c>
      <c r="I16" t="s">
        <v>286</v>
      </c>
      <c r="J16" s="13" t="s">
        <v>296</v>
      </c>
    </row>
    <row r="17" spans="1:10" x14ac:dyDescent="0.4">
      <c r="A17" s="10">
        <v>1803</v>
      </c>
      <c r="B17" s="1" t="s">
        <v>235</v>
      </c>
      <c r="C17" s="1">
        <v>657</v>
      </c>
      <c r="D17" s="13">
        <v>280.86060606060602</v>
      </c>
      <c r="E17" s="13">
        <v>288.06666666666661</v>
      </c>
      <c r="F17" s="13">
        <v>314.53575757575754</v>
      </c>
      <c r="G17" s="13">
        <v>326.73333333333329</v>
      </c>
      <c r="H17" s="21">
        <f>AVERAGE(Оценка_фальсификаций[[#This Row],[Ф. дума партии]:[Ф. мособлдума одномандатный]])</f>
        <v>302.54909090909086</v>
      </c>
      <c r="I17" t="s">
        <v>287</v>
      </c>
      <c r="J17" s="13" t="s">
        <v>290</v>
      </c>
    </row>
    <row r="18" spans="1:10" x14ac:dyDescent="0.4">
      <c r="A18" s="1">
        <v>1782</v>
      </c>
      <c r="B18" s="1" t="s">
        <v>231</v>
      </c>
      <c r="C18" s="1">
        <v>2016</v>
      </c>
      <c r="D18" s="13">
        <v>291.54666666666662</v>
      </c>
      <c r="E18" s="13">
        <v>303.60363636363627</v>
      </c>
      <c r="F18" s="13">
        <v>249.8921212121212</v>
      </c>
      <c r="G18" s="13">
        <v>329.96727272727264</v>
      </c>
      <c r="H18" s="21">
        <f>AVERAGE(Оценка_фальсификаций[[#This Row],[Ф. дума партии]:[Ф. мособлдума одномандатный]])</f>
        <v>293.75242424242418</v>
      </c>
      <c r="I18" t="s">
        <v>288</v>
      </c>
      <c r="J18" s="13" t="s">
        <v>289</v>
      </c>
    </row>
    <row r="19" spans="1:10" x14ac:dyDescent="0.4">
      <c r="A19" s="10">
        <v>1818</v>
      </c>
      <c r="B19" s="1" t="s">
        <v>241</v>
      </c>
      <c r="C19" s="1">
        <v>1252</v>
      </c>
      <c r="D19" s="13">
        <v>267.85454545454542</v>
      </c>
      <c r="E19" s="13">
        <v>231.29696969696968</v>
      </c>
      <c r="F19" s="13">
        <v>308.63030303030303</v>
      </c>
      <c r="G19" s="13">
        <v>311.54787878787874</v>
      </c>
      <c r="H19" s="21">
        <f>AVERAGE(Оценка_фальсификаций[[#This Row],[Ф. дума партии]:[Ф. мособлдума одномандатный]])</f>
        <v>279.83242424242422</v>
      </c>
      <c r="J19" s="13"/>
    </row>
    <row r="20" spans="1:10" x14ac:dyDescent="0.4">
      <c r="A20" s="10">
        <v>1784</v>
      </c>
      <c r="B20" s="1" t="s">
        <v>231</v>
      </c>
      <c r="C20" s="1">
        <v>1131</v>
      </c>
      <c r="D20" s="13">
        <v>228.51999999999998</v>
      </c>
      <c r="E20" s="13">
        <v>274.28727272727269</v>
      </c>
      <c r="F20" s="13">
        <v>262.65212121212119</v>
      </c>
      <c r="G20" s="13">
        <v>275.65818181818179</v>
      </c>
      <c r="H20" s="21">
        <f>AVERAGE(Оценка_фальсификаций[[#This Row],[Ф. дума партии]:[Ф. мособлдума одномандатный]])</f>
        <v>260.27939393939391</v>
      </c>
      <c r="J20" s="13"/>
    </row>
    <row r="21" spans="1:10" x14ac:dyDescent="0.4">
      <c r="A21" s="10">
        <v>1770</v>
      </c>
      <c r="B21" s="1" t="s">
        <v>228</v>
      </c>
      <c r="C21" s="1">
        <v>1810</v>
      </c>
      <c r="D21" s="13">
        <v>318.26181818181817</v>
      </c>
      <c r="E21" s="13">
        <v>229.96121212121207</v>
      </c>
      <c r="F21" s="13">
        <v>240.47151515151512</v>
      </c>
      <c r="G21" s="13">
        <v>226.58666666666659</v>
      </c>
      <c r="H21" s="21">
        <f>AVERAGE(Оценка_фальсификаций[[#This Row],[Ф. дума партии]:[Ф. мособлдума одномандатный]])</f>
        <v>253.82030303030297</v>
      </c>
      <c r="J21" s="13"/>
    </row>
    <row r="22" spans="1:10" x14ac:dyDescent="0.4">
      <c r="A22" s="1">
        <v>1767</v>
      </c>
      <c r="B22" s="1" t="s">
        <v>228</v>
      </c>
      <c r="C22" s="1">
        <v>2848</v>
      </c>
      <c r="D22" s="13">
        <v>348.10545454545445</v>
      </c>
      <c r="E22" s="13">
        <v>261.03515151515148</v>
      </c>
      <c r="F22" s="13">
        <v>316.50424242424236</v>
      </c>
      <c r="G22" s="13">
        <v>48.755151515151425</v>
      </c>
      <c r="H22" s="21">
        <f>AVERAGE(Оценка_фальсификаций[[#This Row],[Ф. дума партии]:[Ф. мособлдума одномандатный]])</f>
        <v>243.59999999999994</v>
      </c>
      <c r="J22" s="13"/>
    </row>
    <row r="23" spans="1:10" x14ac:dyDescent="0.4">
      <c r="A23" s="10">
        <v>1787</v>
      </c>
      <c r="B23" s="1" t="s">
        <v>231</v>
      </c>
      <c r="C23" s="1">
        <v>1477</v>
      </c>
      <c r="D23" s="13">
        <v>243.35393939393936</v>
      </c>
      <c r="E23" s="13">
        <v>233.30060606060601</v>
      </c>
      <c r="F23" s="13">
        <v>243.63515151515148</v>
      </c>
      <c r="G23" s="13">
        <v>235.58545454545452</v>
      </c>
      <c r="H23" s="21">
        <f>AVERAGE(Оценка_фальсификаций[[#This Row],[Ф. дума партии]:[Ф. мособлдума одномандатный]])</f>
        <v>238.96878787878785</v>
      </c>
      <c r="J23" s="13"/>
    </row>
    <row r="24" spans="1:10" x14ac:dyDescent="0.4">
      <c r="A24" s="10">
        <v>1814</v>
      </c>
      <c r="B24" s="1" t="s">
        <v>240</v>
      </c>
      <c r="C24" s="1">
        <v>658</v>
      </c>
      <c r="D24" s="13">
        <v>257.97696969696972</v>
      </c>
      <c r="E24" s="13">
        <v>230.17212121212117</v>
      </c>
      <c r="F24" s="13">
        <v>254.42666666666665</v>
      </c>
      <c r="G24" s="13">
        <v>203.80848484848485</v>
      </c>
      <c r="H24" s="21">
        <f>AVERAGE(Оценка_фальсификаций[[#This Row],[Ф. дума партии]:[Ф. мособлдума одномандатный]])</f>
        <v>236.59606060606058</v>
      </c>
      <c r="J24" s="13"/>
    </row>
    <row r="25" spans="1:10" x14ac:dyDescent="0.4">
      <c r="A25" s="10">
        <v>3883</v>
      </c>
      <c r="B25" s="1" t="s">
        <v>235</v>
      </c>
      <c r="C25" s="1">
        <v>2119</v>
      </c>
      <c r="D25" s="13">
        <v>287.96121212121204</v>
      </c>
      <c r="E25" s="13">
        <v>259.4884848484848</v>
      </c>
      <c r="F25" s="13">
        <v>317.4884848484848</v>
      </c>
      <c r="G25" s="13">
        <v>58.035151515151455</v>
      </c>
      <c r="H25" s="21">
        <f>AVERAGE(Оценка_фальсификаций[[#This Row],[Ф. дума партии]:[Ф. мособлдума одномандатный]])</f>
        <v>230.74333333333328</v>
      </c>
      <c r="J25" s="13"/>
    </row>
    <row r="26" spans="1:10" x14ac:dyDescent="0.4">
      <c r="A26" s="10">
        <v>1816</v>
      </c>
      <c r="B26" s="1" t="s">
        <v>240</v>
      </c>
      <c r="C26" s="1">
        <v>1282</v>
      </c>
      <c r="D26" s="13">
        <v>199.06303030303027</v>
      </c>
      <c r="E26" s="13">
        <v>211.68242424242422</v>
      </c>
      <c r="F26" s="13">
        <v>252.80969696969692</v>
      </c>
      <c r="G26" s="13">
        <v>237.6242424242424</v>
      </c>
      <c r="H26" s="21">
        <f>AVERAGE(Оценка_фальсификаций[[#This Row],[Ф. дума партии]:[Ф. мособлдума одномандатный]])</f>
        <v>225.29484848484847</v>
      </c>
      <c r="J26" s="13"/>
    </row>
    <row r="27" spans="1:10" x14ac:dyDescent="0.4">
      <c r="A27" s="1">
        <v>3879</v>
      </c>
      <c r="B27" s="1" t="s">
        <v>228</v>
      </c>
      <c r="C27" s="1">
        <v>922</v>
      </c>
      <c r="D27" s="13">
        <v>218.71272727272725</v>
      </c>
      <c r="E27" s="13">
        <v>209.60848484848484</v>
      </c>
      <c r="F27" s="13">
        <v>219.13454545454542</v>
      </c>
      <c r="G27" s="13">
        <v>222.01696969696968</v>
      </c>
      <c r="H27" s="21">
        <f>AVERAGE(Оценка_фальсификаций[[#This Row],[Ф. дума партии]:[Ф. мособлдума одномандатный]])</f>
        <v>217.3681818181818</v>
      </c>
      <c r="J27" s="13"/>
    </row>
    <row r="28" spans="1:10" x14ac:dyDescent="0.4">
      <c r="A28" s="10">
        <v>1799</v>
      </c>
      <c r="B28" s="1" t="s">
        <v>235</v>
      </c>
      <c r="C28" s="1">
        <v>2146</v>
      </c>
      <c r="D28" s="13">
        <v>338.7551515151514</v>
      </c>
      <c r="E28" s="13">
        <v>245.25212121212115</v>
      </c>
      <c r="F28" s="13">
        <v>249.36484848484838</v>
      </c>
      <c r="G28" s="13">
        <v>26.89090909090902</v>
      </c>
      <c r="H28" s="21">
        <f>AVERAGE(Оценка_фальсификаций[[#This Row],[Ф. дума партии]:[Ф. мособлдума одномандатный]])</f>
        <v>215.06575757575746</v>
      </c>
      <c r="J28" s="13"/>
    </row>
    <row r="29" spans="1:10" x14ac:dyDescent="0.4">
      <c r="A29" s="2">
        <v>1746</v>
      </c>
      <c r="B29" s="2" t="s">
        <v>228</v>
      </c>
      <c r="C29" s="2">
        <v>1477</v>
      </c>
      <c r="D29" s="13">
        <v>244.02181818181816</v>
      </c>
      <c r="E29" s="13">
        <v>275.34181818181816</v>
      </c>
      <c r="F29" s="13">
        <v>156.14303030303026</v>
      </c>
      <c r="G29" s="13">
        <v>169.88727272727272</v>
      </c>
      <c r="H29" s="21">
        <f>AVERAGE(Оценка_фальсификаций[[#This Row],[Ф. дума партии]:[Ф. мособлдума одномандатный]])</f>
        <v>211.34848484848482</v>
      </c>
      <c r="J29" s="13"/>
    </row>
    <row r="30" spans="1:10" x14ac:dyDescent="0.4">
      <c r="A30" s="10">
        <v>1785</v>
      </c>
      <c r="B30" s="1" t="s">
        <v>231</v>
      </c>
      <c r="C30" s="1">
        <v>1737</v>
      </c>
      <c r="D30" s="13">
        <v>210.31151515151515</v>
      </c>
      <c r="E30" s="13">
        <v>195.30181818181813</v>
      </c>
      <c r="F30" s="13">
        <v>220.43515151515149</v>
      </c>
      <c r="G30" s="13">
        <v>194.21212121212119</v>
      </c>
      <c r="H30" s="21">
        <f>AVERAGE(Оценка_фальсификаций[[#This Row],[Ф. дума партии]:[Ф. мособлдума одномандатный]])</f>
        <v>205.06515151515151</v>
      </c>
      <c r="J30" s="13"/>
    </row>
    <row r="31" spans="1:10" x14ac:dyDescent="0.4">
      <c r="A31" s="10">
        <v>1820</v>
      </c>
      <c r="B31" s="1" t="s">
        <v>243</v>
      </c>
      <c r="C31" s="1">
        <v>1129</v>
      </c>
      <c r="D31" s="13">
        <v>226.23515151515147</v>
      </c>
      <c r="E31" s="13">
        <v>168.51636363636362</v>
      </c>
      <c r="F31" s="13">
        <v>213.26424242424238</v>
      </c>
      <c r="G31" s="13">
        <v>209.71393939393937</v>
      </c>
      <c r="H31" s="21">
        <f>AVERAGE(Оценка_фальсификаций[[#This Row],[Ф. дума партии]:[Ф. мособлдума одномандатный]])</f>
        <v>204.43242424242419</v>
      </c>
      <c r="J31" s="13"/>
    </row>
    <row r="32" spans="1:10" x14ac:dyDescent="0.4">
      <c r="A32" s="1">
        <v>1775</v>
      </c>
      <c r="B32" s="1" t="s">
        <v>231</v>
      </c>
      <c r="C32" s="1">
        <v>1300</v>
      </c>
      <c r="D32" s="13">
        <v>224.26666666666665</v>
      </c>
      <c r="E32" s="13">
        <v>219.73212121212117</v>
      </c>
      <c r="F32" s="13">
        <v>173.96484848484846</v>
      </c>
      <c r="G32" s="13">
        <v>198.21939393939391</v>
      </c>
      <c r="H32" s="21">
        <f>AVERAGE(Оценка_фальсификаций[[#This Row],[Ф. дума партии]:[Ф. мособлдума одномандатный]])</f>
        <v>204.04575757575753</v>
      </c>
      <c r="J32" s="13"/>
    </row>
    <row r="33" spans="1:10" x14ac:dyDescent="0.4">
      <c r="A33" s="10">
        <v>1815</v>
      </c>
      <c r="B33" s="1" t="s">
        <v>240</v>
      </c>
      <c r="C33" s="1">
        <v>1254</v>
      </c>
      <c r="D33" s="13">
        <v>201.24242424242419</v>
      </c>
      <c r="E33" s="13">
        <v>192.59515151515149</v>
      </c>
      <c r="F33" s="13">
        <v>201.83999999999997</v>
      </c>
      <c r="G33" s="13">
        <v>215.05696969696967</v>
      </c>
      <c r="H33" s="21">
        <f>AVERAGE(Оценка_фальсификаций[[#This Row],[Ф. дума партии]:[Ф. мособлдума одномандатный]])</f>
        <v>202.68363636363631</v>
      </c>
      <c r="J33" s="13"/>
    </row>
    <row r="34" spans="1:10" x14ac:dyDescent="0.4">
      <c r="A34" s="10">
        <v>1744</v>
      </c>
      <c r="B34" s="1" t="s">
        <v>228</v>
      </c>
      <c r="C34" s="1">
        <v>1089</v>
      </c>
      <c r="D34" s="13">
        <v>285.50060606060606</v>
      </c>
      <c r="E34" s="13">
        <v>259.31272727272727</v>
      </c>
      <c r="F34" s="13">
        <v>106.5090909090909</v>
      </c>
      <c r="G34" s="13">
        <v>125.28</v>
      </c>
      <c r="H34" s="21">
        <f>AVERAGE(Оценка_фальсификаций[[#This Row],[Ф. дума партии]:[Ф. мособлдума одномандатный]])</f>
        <v>194.15060606060604</v>
      </c>
      <c r="J34" s="13"/>
    </row>
    <row r="35" spans="1:10" x14ac:dyDescent="0.4">
      <c r="A35" s="10">
        <v>1819</v>
      </c>
      <c r="B35" s="1" t="s">
        <v>242</v>
      </c>
      <c r="C35" s="1">
        <v>1174</v>
      </c>
      <c r="D35" s="13">
        <v>204.93333333333331</v>
      </c>
      <c r="E35" s="13">
        <v>184.61575757575756</v>
      </c>
      <c r="F35" s="13">
        <v>176.46060606060604</v>
      </c>
      <c r="G35" s="13">
        <v>159.55272727272722</v>
      </c>
      <c r="H35" s="21">
        <f>AVERAGE(Оценка_фальсификаций[[#This Row],[Ф. дума партии]:[Ф. мособлдума одномандатный]])</f>
        <v>181.39060606060605</v>
      </c>
      <c r="J35" s="13"/>
    </row>
    <row r="36" spans="1:10" x14ac:dyDescent="0.4">
      <c r="A36" s="10">
        <v>1774</v>
      </c>
      <c r="B36" s="1" t="s">
        <v>228</v>
      </c>
      <c r="C36" s="1">
        <v>544</v>
      </c>
      <c r="D36" s="13">
        <v>257.66060606060603</v>
      </c>
      <c r="E36" s="13">
        <v>196.56727272727272</v>
      </c>
      <c r="F36" s="13">
        <v>130.41212121212118</v>
      </c>
      <c r="G36" s="13">
        <v>128.02181818181816</v>
      </c>
      <c r="H36" s="21">
        <f>AVERAGE(Оценка_фальсификаций[[#This Row],[Ф. дума партии]:[Ф. мособлдума одномандатный]])</f>
        <v>178.16545454545451</v>
      </c>
      <c r="J36" s="13"/>
    </row>
    <row r="37" spans="1:10" x14ac:dyDescent="0.4">
      <c r="A37" s="1">
        <v>1763</v>
      </c>
      <c r="B37" s="1" t="s">
        <v>228</v>
      </c>
      <c r="C37" s="1">
        <v>1364</v>
      </c>
      <c r="D37" s="13">
        <v>147.1090909090909</v>
      </c>
      <c r="E37" s="13">
        <v>154.8072727272727</v>
      </c>
      <c r="F37" s="13">
        <v>216.46303030303028</v>
      </c>
      <c r="G37" s="13">
        <v>154.24484848484846</v>
      </c>
      <c r="H37" s="21">
        <f>AVERAGE(Оценка_фальсификаций[[#This Row],[Ф. дума партии]:[Ф. мособлдума одномандатный]])</f>
        <v>168.15606060606058</v>
      </c>
      <c r="J37" s="13"/>
    </row>
    <row r="38" spans="1:10" x14ac:dyDescent="0.4">
      <c r="A38" s="10">
        <v>1781</v>
      </c>
      <c r="B38" s="1" t="s">
        <v>231</v>
      </c>
      <c r="C38" s="1">
        <v>1456</v>
      </c>
      <c r="D38" s="13">
        <v>136.42303030303026</v>
      </c>
      <c r="E38" s="13">
        <v>158.39272727272723</v>
      </c>
      <c r="F38" s="13">
        <v>173.61333333333332</v>
      </c>
      <c r="G38" s="13">
        <v>150.23757575757574</v>
      </c>
      <c r="H38" s="21">
        <f>AVERAGE(Оценка_фальсификаций[[#This Row],[Ф. дума партии]:[Ф. мособлдума одномандатный]])</f>
        <v>154.66666666666666</v>
      </c>
      <c r="J38" s="13"/>
    </row>
    <row r="39" spans="1:10" x14ac:dyDescent="0.4">
      <c r="A39" s="1">
        <v>1821</v>
      </c>
      <c r="B39" s="2" t="s">
        <v>244</v>
      </c>
      <c r="C39" s="2">
        <v>466</v>
      </c>
      <c r="D39" s="13">
        <v>151.43272727272728</v>
      </c>
      <c r="E39" s="13">
        <v>158.56848484848484</v>
      </c>
      <c r="F39" s="13">
        <v>121.09696969696968</v>
      </c>
      <c r="G39" s="13">
        <v>142.25818181818181</v>
      </c>
      <c r="H39" s="21">
        <f>AVERAGE(Оценка_фальсификаций[[#This Row],[Ф. дума партии]:[Ф. мособлдума одномандатный]])</f>
        <v>143.33909090909088</v>
      </c>
      <c r="J39" s="13"/>
    </row>
    <row r="40" spans="1:10" x14ac:dyDescent="0.4">
      <c r="A40" s="10">
        <v>1817</v>
      </c>
      <c r="B40" s="1" t="s">
        <v>241</v>
      </c>
      <c r="C40" s="1">
        <v>773</v>
      </c>
      <c r="D40" s="13">
        <v>145.9490909090909</v>
      </c>
      <c r="E40" s="13">
        <v>127.3890909090909</v>
      </c>
      <c r="F40" s="13">
        <v>139.58666666666664</v>
      </c>
      <c r="G40" s="13">
        <v>134.45454545454544</v>
      </c>
      <c r="H40" s="21">
        <f>AVERAGE(Оценка_фальсификаций[[#This Row],[Ф. дума партии]:[Ф. мособлдума одномандатный]])</f>
        <v>136.84484848484846</v>
      </c>
      <c r="J40" s="13"/>
    </row>
    <row r="41" spans="1:10" x14ac:dyDescent="0.4">
      <c r="A41" s="1">
        <v>1776</v>
      </c>
      <c r="B41" s="1" t="s">
        <v>231</v>
      </c>
      <c r="C41" s="1">
        <v>2201</v>
      </c>
      <c r="D41" s="13">
        <v>139.34060606060601</v>
      </c>
      <c r="E41" s="13">
        <v>150.06181818181815</v>
      </c>
      <c r="F41" s="13">
        <v>102.6424242424242</v>
      </c>
      <c r="G41" s="13">
        <v>150.16727272727269</v>
      </c>
      <c r="H41" s="21">
        <f>AVERAGE(Оценка_фальсификаций[[#This Row],[Ф. дума партии]:[Ф. мособлдума одномандатный]])</f>
        <v>135.55303030303025</v>
      </c>
      <c r="J41" s="13"/>
    </row>
    <row r="42" spans="1:10" x14ac:dyDescent="0.4">
      <c r="A42" s="10">
        <v>1759</v>
      </c>
      <c r="B42" s="1" t="s">
        <v>228</v>
      </c>
      <c r="C42" s="1">
        <v>1091</v>
      </c>
      <c r="D42" s="13">
        <v>252.52848484848482</v>
      </c>
      <c r="E42" s="13">
        <v>210.03030303030303</v>
      </c>
      <c r="F42" s="13">
        <v>53.641212121212092</v>
      </c>
      <c r="G42" s="13">
        <v>21.020606060606028</v>
      </c>
      <c r="H42" s="21">
        <f>AVERAGE(Оценка_фальсификаций[[#This Row],[Ф. дума партии]:[Ф. мособлдума одномандатный]])</f>
        <v>134.30515151515149</v>
      </c>
      <c r="J42" s="13"/>
    </row>
    <row r="43" spans="1:10" x14ac:dyDescent="0.4">
      <c r="A43" s="1">
        <v>4250</v>
      </c>
      <c r="B43" s="1" t="s">
        <v>252</v>
      </c>
      <c r="C43" s="1">
        <v>194</v>
      </c>
      <c r="D43" s="13">
        <v>147.60121212121211</v>
      </c>
      <c r="E43" s="13">
        <v>123.2060606060606</v>
      </c>
      <c r="F43" s="13">
        <v>119.51515151515152</v>
      </c>
      <c r="G43" s="13">
        <v>117.96848484848485</v>
      </c>
      <c r="H43" s="21">
        <f>AVERAGE(Оценка_фальсификаций[[#This Row],[Ф. дума партии]:[Ф. мособлдума одномандатный]])</f>
        <v>127.07272727272726</v>
      </c>
      <c r="J43" s="13"/>
    </row>
    <row r="44" spans="1:10" x14ac:dyDescent="0.4">
      <c r="A44" s="1">
        <v>1765</v>
      </c>
      <c r="B44" s="1" t="s">
        <v>230</v>
      </c>
      <c r="C44" s="1">
        <v>877</v>
      </c>
      <c r="D44" s="13">
        <v>159.55272727272728</v>
      </c>
      <c r="E44" s="13">
        <v>134.56</v>
      </c>
      <c r="F44" s="13">
        <v>104.78666666666666</v>
      </c>
      <c r="G44" s="13">
        <v>89.601212121212114</v>
      </c>
      <c r="H44" s="21">
        <f>AVERAGE(Оценка_фальсификаций[[#This Row],[Ф. дума партии]:[Ф. мособлдума одномандатный]])</f>
        <v>122.12515151515152</v>
      </c>
      <c r="J44" s="13"/>
    </row>
    <row r="45" spans="1:10" x14ac:dyDescent="0.4">
      <c r="A45" s="1">
        <v>4243</v>
      </c>
      <c r="B45" s="1" t="s">
        <v>251</v>
      </c>
      <c r="C45" s="1">
        <v>216</v>
      </c>
      <c r="D45" s="13">
        <v>213.65090909090907</v>
      </c>
      <c r="E45" s="13">
        <v>206.16363636363636</v>
      </c>
      <c r="F45" s="13">
        <v>28.226666666666667</v>
      </c>
      <c r="G45" s="13">
        <v>9.7369696969696946</v>
      </c>
      <c r="H45" s="21">
        <f>AVERAGE(Оценка_фальсификаций[[#This Row],[Ф. дума партии]:[Ф. мособлдума одномандатный]])</f>
        <v>114.44454545454545</v>
      </c>
      <c r="J45" s="13"/>
    </row>
    <row r="46" spans="1:10" x14ac:dyDescent="0.4">
      <c r="A46" s="10">
        <v>1828</v>
      </c>
      <c r="B46" s="1" t="s">
        <v>250</v>
      </c>
      <c r="C46" s="1">
        <v>1207</v>
      </c>
      <c r="D46" s="13">
        <v>100.7442424242424</v>
      </c>
      <c r="E46" s="13">
        <v>111.3951515151515</v>
      </c>
      <c r="F46" s="13">
        <v>99.127272727272683</v>
      </c>
      <c r="G46" s="13">
        <v>141.37939393939394</v>
      </c>
      <c r="H46" s="21">
        <f>AVERAGE(Оценка_фальсификаций[[#This Row],[Ф. дума партии]:[Ф. мособлдума одномандатный]])</f>
        <v>113.16151515151513</v>
      </c>
      <c r="J46" s="13"/>
    </row>
    <row r="47" spans="1:10" x14ac:dyDescent="0.4">
      <c r="A47" s="1">
        <v>1826</v>
      </c>
      <c r="B47" s="2" t="s">
        <v>249</v>
      </c>
      <c r="C47" s="2">
        <v>1263</v>
      </c>
      <c r="D47" s="13">
        <v>99.44363636363633</v>
      </c>
      <c r="E47" s="13">
        <v>109.74303030303028</v>
      </c>
      <c r="F47" s="13">
        <v>111.64121212121209</v>
      </c>
      <c r="G47" s="13">
        <v>109.25090909090908</v>
      </c>
      <c r="H47" s="21">
        <f>AVERAGE(Оценка_фальсификаций[[#This Row],[Ф. дума партии]:[Ф. мособлдума одномандатный]])</f>
        <v>107.51969696969695</v>
      </c>
      <c r="J47" s="13"/>
    </row>
    <row r="48" spans="1:10" x14ac:dyDescent="0.4">
      <c r="A48" s="10">
        <v>1827</v>
      </c>
      <c r="B48" s="1" t="s">
        <v>248</v>
      </c>
      <c r="C48" s="1">
        <v>582</v>
      </c>
      <c r="D48" s="13">
        <v>102.60727272727271</v>
      </c>
      <c r="E48" s="13">
        <v>93.503030303030286</v>
      </c>
      <c r="F48" s="13">
        <v>109.88363636363636</v>
      </c>
      <c r="G48" s="13">
        <v>109.2860606060606</v>
      </c>
      <c r="H48" s="21">
        <f>AVERAGE(Оценка_фальсификаций[[#This Row],[Ф. дума партии]:[Ф. мособлдума одномандатный]])</f>
        <v>103.82</v>
      </c>
      <c r="J48" s="13"/>
    </row>
    <row r="49" spans="1:10" x14ac:dyDescent="0.4">
      <c r="A49" s="1">
        <v>1823</v>
      </c>
      <c r="B49" s="1" t="s">
        <v>246</v>
      </c>
      <c r="C49" s="1">
        <v>665</v>
      </c>
      <c r="D49" s="13">
        <v>130.51757575757574</v>
      </c>
      <c r="E49" s="13">
        <v>62.639999999999979</v>
      </c>
      <c r="F49" s="13">
        <v>91.323636363636354</v>
      </c>
      <c r="G49" s="13">
        <v>59.335757575757562</v>
      </c>
      <c r="H49" s="21">
        <f>AVERAGE(Оценка_фальсификаций[[#This Row],[Ф. дума партии]:[Ф. мособлдума одномандатный]])</f>
        <v>85.954242424242409</v>
      </c>
      <c r="J49" s="13"/>
    </row>
    <row r="50" spans="1:10" x14ac:dyDescent="0.4">
      <c r="A50" s="10">
        <v>1751</v>
      </c>
      <c r="B50" s="1" t="s">
        <v>228</v>
      </c>
      <c r="C50" s="1">
        <v>1328</v>
      </c>
      <c r="D50" s="13">
        <v>74.767272727272712</v>
      </c>
      <c r="E50" s="13">
        <v>84.820606060606039</v>
      </c>
      <c r="F50" s="13">
        <v>76.419393939393927</v>
      </c>
      <c r="G50" s="13">
        <v>83.590303030303005</v>
      </c>
      <c r="H50" s="21">
        <f>AVERAGE(Оценка_фальсификаций[[#This Row],[Ф. дума партии]:[Ф. мособлдума одномандатный]])</f>
        <v>79.899393939393917</v>
      </c>
      <c r="J50" s="13"/>
    </row>
    <row r="51" spans="1:10" x14ac:dyDescent="0.4">
      <c r="A51" s="10">
        <v>3878</v>
      </c>
      <c r="B51" s="1" t="s">
        <v>228</v>
      </c>
      <c r="C51" s="1">
        <v>1312</v>
      </c>
      <c r="D51" s="13">
        <v>119.37454545454543</v>
      </c>
      <c r="E51" s="13">
        <v>104.92727272727271</v>
      </c>
      <c r="F51" s="13">
        <v>50.196363636363628</v>
      </c>
      <c r="G51" s="13">
        <v>20.844848484848455</v>
      </c>
      <c r="H51" s="21">
        <f>AVERAGE(Оценка_фальсификаций[[#This Row],[Ф. дума партии]:[Ф. мособлдума одномандатный]])</f>
        <v>73.835757575757555</v>
      </c>
      <c r="J51" s="13"/>
    </row>
    <row r="52" spans="1:10" x14ac:dyDescent="0.4">
      <c r="A52" s="10">
        <v>1753</v>
      </c>
      <c r="B52" s="1" t="s">
        <v>228</v>
      </c>
      <c r="C52" s="1">
        <v>1035</v>
      </c>
      <c r="D52" s="13">
        <v>152.59272727272725</v>
      </c>
      <c r="E52" s="13">
        <v>150.87030303030303</v>
      </c>
      <c r="F52" s="13">
        <v>-17.78666666666669</v>
      </c>
      <c r="G52" s="13">
        <v>6.8545454545454376</v>
      </c>
      <c r="H52" s="21">
        <f>AVERAGE(Оценка_фальсификаций[[#This Row],[Ф. дума партии]:[Ф. мособлдума одномандатный]])</f>
        <v>73.132727272727251</v>
      </c>
      <c r="J52" s="13"/>
    </row>
    <row r="53" spans="1:10" x14ac:dyDescent="0.4">
      <c r="A53" s="10">
        <v>3874</v>
      </c>
      <c r="B53" s="1" t="s">
        <v>228</v>
      </c>
      <c r="C53" s="1">
        <v>961</v>
      </c>
      <c r="D53" s="13">
        <v>118.63636363636361</v>
      </c>
      <c r="E53" s="13">
        <v>140.35999999999999</v>
      </c>
      <c r="F53" s="13">
        <v>21.653333333333315</v>
      </c>
      <c r="G53" s="13">
        <v>10.018181818181795</v>
      </c>
      <c r="H53" s="21">
        <f>AVERAGE(Оценка_фальсификаций[[#This Row],[Ф. дума партии]:[Ф. мособлдума одномандатный]])</f>
        <v>72.666969696969673</v>
      </c>
      <c r="J53" s="13"/>
    </row>
    <row r="54" spans="1:10" x14ac:dyDescent="0.4">
      <c r="A54" s="10">
        <v>1810</v>
      </c>
      <c r="B54" s="1" t="s">
        <v>237</v>
      </c>
      <c r="C54" s="1">
        <v>1269</v>
      </c>
      <c r="D54" s="13">
        <v>73.009696969696961</v>
      </c>
      <c r="E54" s="13">
        <v>69.670303030303003</v>
      </c>
      <c r="F54" s="13">
        <v>59.58181818181815</v>
      </c>
      <c r="G54" s="13">
        <v>77.263030303030263</v>
      </c>
      <c r="H54" s="21">
        <f>AVERAGE(Оценка_фальсификаций[[#This Row],[Ф. дума партии]:[Ф. мособлдума одномандатный]])</f>
        <v>69.881212121212087</v>
      </c>
      <c r="J54" s="13"/>
    </row>
    <row r="55" spans="1:10" x14ac:dyDescent="0.4">
      <c r="A55" s="10">
        <v>1760</v>
      </c>
      <c r="B55" s="1" t="s">
        <v>229</v>
      </c>
      <c r="C55" s="1">
        <v>353</v>
      </c>
      <c r="D55" s="13">
        <v>70.86545454545454</v>
      </c>
      <c r="E55" s="13">
        <v>65.452121212121199</v>
      </c>
      <c r="F55" s="13">
        <v>56.73454545454544</v>
      </c>
      <c r="G55" s="13">
        <v>41.443636363636358</v>
      </c>
      <c r="H55" s="21">
        <f>AVERAGE(Оценка_фальсификаций[[#This Row],[Ф. дума партии]:[Ф. мособлдума одномандатный]])</f>
        <v>58.623939393939388</v>
      </c>
      <c r="J55" s="13"/>
    </row>
    <row r="56" spans="1:10" x14ac:dyDescent="0.4">
      <c r="A56" s="10">
        <v>4251</v>
      </c>
      <c r="B56" s="1" t="s">
        <v>253</v>
      </c>
      <c r="C56" s="1">
        <v>204</v>
      </c>
      <c r="D56" s="13">
        <v>84.469090909090909</v>
      </c>
      <c r="E56" s="13">
        <v>64.854545454545445</v>
      </c>
      <c r="F56" s="13">
        <v>57.296969696969683</v>
      </c>
      <c r="G56" s="13">
        <v>25.133333333333326</v>
      </c>
      <c r="H56" s="21">
        <f>AVERAGE(Оценка_фальсификаций[[#This Row],[Ф. дума партии]:[Ф. мособлдума одномандатный]])</f>
        <v>57.93848484848484</v>
      </c>
      <c r="J56" s="13"/>
    </row>
    <row r="57" spans="1:10" x14ac:dyDescent="0.4">
      <c r="A57" s="10">
        <v>4252</v>
      </c>
      <c r="B57" s="1" t="s">
        <v>254</v>
      </c>
      <c r="C57" s="1">
        <v>269</v>
      </c>
      <c r="D57" s="13">
        <v>51.321212121212099</v>
      </c>
      <c r="E57" s="13">
        <v>47.173333333333325</v>
      </c>
      <c r="F57" s="13">
        <v>48.087272727272719</v>
      </c>
      <c r="G57" s="13">
        <v>66.928484848484842</v>
      </c>
      <c r="H57" s="21">
        <f>AVERAGE(Оценка_фальсификаций[[#This Row],[Ф. дума партии]:[Ф. мособлдума одномандатный]])</f>
        <v>53.377575757575755</v>
      </c>
      <c r="J57" s="13"/>
    </row>
    <row r="58" spans="1:10" x14ac:dyDescent="0.4">
      <c r="A58" s="1">
        <v>1745</v>
      </c>
      <c r="B58" s="1" t="s">
        <v>228</v>
      </c>
      <c r="C58" s="1">
        <v>1509</v>
      </c>
      <c r="D58" s="13">
        <v>74.767272727272697</v>
      </c>
      <c r="E58" s="13">
        <v>53.922424242424199</v>
      </c>
      <c r="F58" s="13">
        <v>33.780606060606047</v>
      </c>
      <c r="G58" s="13">
        <v>45.591515151515139</v>
      </c>
      <c r="H58" s="21">
        <f>AVERAGE(Оценка_фальсификаций[[#This Row],[Ф. дума партии]:[Ф. мособлдума одномандатный]])</f>
        <v>52.015454545454517</v>
      </c>
      <c r="J58" s="13"/>
    </row>
    <row r="59" spans="1:10" x14ac:dyDescent="0.4">
      <c r="A59" s="10">
        <v>1755</v>
      </c>
      <c r="B59" s="1" t="s">
        <v>228</v>
      </c>
      <c r="C59" s="1">
        <v>1484</v>
      </c>
      <c r="D59" s="13">
        <v>75.364848484848466</v>
      </c>
      <c r="E59" s="13">
        <v>32.198787878787854</v>
      </c>
      <c r="F59" s="13">
        <v>28.683636363636339</v>
      </c>
      <c r="G59" s="13">
        <v>68.721212121212105</v>
      </c>
      <c r="H59" s="21">
        <f>AVERAGE(Оценка_фальсификаций[[#This Row],[Ф. дума партии]:[Ф. мособлдума одномандатный]])</f>
        <v>51.242121212121191</v>
      </c>
      <c r="J59" s="13"/>
    </row>
    <row r="60" spans="1:10" x14ac:dyDescent="0.4">
      <c r="A60" s="10">
        <v>1743</v>
      </c>
      <c r="B60" s="1" t="s">
        <v>228</v>
      </c>
      <c r="C60" s="1">
        <v>1335</v>
      </c>
      <c r="D60" s="13">
        <v>38.033939393939363</v>
      </c>
      <c r="E60" s="13">
        <v>98.072727272727249</v>
      </c>
      <c r="F60" s="13">
        <v>7.9793939393939155</v>
      </c>
      <c r="G60" s="13">
        <v>51.391515151515122</v>
      </c>
      <c r="H60" s="21">
        <f>AVERAGE(Оценка_фальсификаций[[#This Row],[Ф. дума партии]:[Ф. мособлдума одномандатный]])</f>
        <v>48.869393939393916</v>
      </c>
      <c r="J60" s="13"/>
    </row>
    <row r="61" spans="1:10" x14ac:dyDescent="0.4">
      <c r="A61" s="1">
        <v>1771</v>
      </c>
      <c r="B61" s="1" t="s">
        <v>228</v>
      </c>
      <c r="C61" s="1">
        <v>1197</v>
      </c>
      <c r="D61" s="13">
        <v>19.614545454545436</v>
      </c>
      <c r="E61" s="13">
        <v>112.51999999999998</v>
      </c>
      <c r="F61" s="13">
        <v>32.233939393939387</v>
      </c>
      <c r="G61" s="13">
        <v>31.003636363636332</v>
      </c>
      <c r="H61" s="21">
        <f>AVERAGE(Оценка_фальсификаций[[#This Row],[Ф. дума партии]:[Ф. мособлдума одномандатный]])</f>
        <v>48.843030303030282</v>
      </c>
      <c r="J61" s="13"/>
    </row>
    <row r="62" spans="1:10" x14ac:dyDescent="0.4">
      <c r="A62" s="10">
        <v>1786</v>
      </c>
      <c r="B62" s="1" t="s">
        <v>231</v>
      </c>
      <c r="C62" s="1">
        <v>1149</v>
      </c>
      <c r="D62" s="13">
        <v>85.629090909090905</v>
      </c>
      <c r="E62" s="13">
        <v>11.424242424242401</v>
      </c>
      <c r="F62" s="13">
        <v>38.877575757575727</v>
      </c>
      <c r="G62" s="13">
        <v>57.121212121212096</v>
      </c>
      <c r="H62" s="21">
        <f>AVERAGE(Оценка_фальсификаций[[#This Row],[Ф. дума партии]:[Ф. мособлдума одномандатный]])</f>
        <v>48.263030303030284</v>
      </c>
      <c r="J62" s="13"/>
    </row>
    <row r="63" spans="1:10" x14ac:dyDescent="0.4">
      <c r="A63" s="10">
        <v>1756</v>
      </c>
      <c r="B63" s="1" t="s">
        <v>228</v>
      </c>
      <c r="C63" s="1">
        <v>1210</v>
      </c>
      <c r="D63" s="13">
        <v>64.046060606060593</v>
      </c>
      <c r="E63" s="13">
        <v>43.025454545454522</v>
      </c>
      <c r="F63" s="13">
        <v>27.769696969696945</v>
      </c>
      <c r="G63" s="13">
        <v>29.281212121212107</v>
      </c>
      <c r="H63" s="21">
        <f>AVERAGE(Оценка_фальсификаций[[#This Row],[Ф. дума партии]:[Ф. мособлдума одномандатный]])</f>
        <v>41.030606060606047</v>
      </c>
      <c r="J63" s="13"/>
    </row>
    <row r="64" spans="1:10" x14ac:dyDescent="0.4">
      <c r="A64" s="1">
        <v>1796</v>
      </c>
      <c r="B64" s="1" t="s">
        <v>235</v>
      </c>
      <c r="C64" s="1">
        <v>1574</v>
      </c>
      <c r="D64" s="13">
        <v>22.321212121212099</v>
      </c>
      <c r="E64" s="13">
        <v>3.83151515151512</v>
      </c>
      <c r="F64" s="13">
        <v>82.816969696969664</v>
      </c>
      <c r="G64" s="13">
        <v>42.322424242424205</v>
      </c>
      <c r="H64" s="21">
        <f>AVERAGE(Оценка_фальсификаций[[#This Row],[Ф. дума партии]:[Ф. мособлдума одномандатный]])</f>
        <v>37.823030303030272</v>
      </c>
      <c r="J64" s="13"/>
    </row>
    <row r="65" spans="1:10" x14ac:dyDescent="0.4">
      <c r="A65" s="10">
        <v>1747</v>
      </c>
      <c r="B65" s="1" t="s">
        <v>228</v>
      </c>
      <c r="C65" s="1">
        <v>1309</v>
      </c>
      <c r="D65" s="13">
        <v>45.09939393939392</v>
      </c>
      <c r="E65" s="13">
        <v>9.7369696969696662</v>
      </c>
      <c r="F65" s="13">
        <v>18.73575757575756</v>
      </c>
      <c r="G65" s="13">
        <v>60.319999999999979</v>
      </c>
      <c r="H65" s="21">
        <f>AVERAGE(Оценка_фальсификаций[[#This Row],[Ф. дума партии]:[Ф. мособлдума одномандатный]])</f>
        <v>33.473030303030285</v>
      </c>
      <c r="J65" s="13"/>
    </row>
    <row r="66" spans="1:10" x14ac:dyDescent="0.4">
      <c r="A66" s="1">
        <v>1750</v>
      </c>
      <c r="B66" s="1" t="s">
        <v>228</v>
      </c>
      <c r="C66" s="1">
        <v>1405</v>
      </c>
      <c r="D66" s="13">
        <v>26.926060606060588</v>
      </c>
      <c r="E66" s="13">
        <v>109.60242424242422</v>
      </c>
      <c r="F66" s="13">
        <v>-15.290909090909125</v>
      </c>
      <c r="G66" s="13">
        <v>7.3115151515151382</v>
      </c>
      <c r="H66" s="21">
        <f>AVERAGE(Оценка_фальсификаций[[#This Row],[Ф. дума партии]:[Ф. мособлдума одномандатный]])</f>
        <v>32.137272727272709</v>
      </c>
      <c r="J66" s="13"/>
    </row>
    <row r="67" spans="1:10" x14ac:dyDescent="0.4">
      <c r="A67" s="10">
        <v>1801</v>
      </c>
      <c r="B67" s="1" t="s">
        <v>236</v>
      </c>
      <c r="C67" s="1">
        <v>1419</v>
      </c>
      <c r="D67" s="13">
        <v>86.226666666666659</v>
      </c>
      <c r="E67" s="13">
        <v>-16.486060606060626</v>
      </c>
      <c r="F67" s="13">
        <v>85.242424242424221</v>
      </c>
      <c r="G67" s="13">
        <v>-29.808484848484866</v>
      </c>
      <c r="H67" s="21">
        <f>AVERAGE(Оценка_фальсификаций[[#This Row],[Ф. дума партии]:[Ф. мособлдума одномандатный]])</f>
        <v>31.293636363636349</v>
      </c>
      <c r="J67" s="13"/>
    </row>
    <row r="68" spans="1:10" x14ac:dyDescent="0.4">
      <c r="A68" s="10">
        <v>1790</v>
      </c>
      <c r="B68" s="1" t="s">
        <v>232</v>
      </c>
      <c r="C68" s="1">
        <v>1289</v>
      </c>
      <c r="D68" s="13">
        <v>18.911515151515133</v>
      </c>
      <c r="E68" s="13">
        <v>15.923636363636319</v>
      </c>
      <c r="F68" s="13">
        <v>26.574545454545415</v>
      </c>
      <c r="G68" s="13">
        <v>58.316363636363604</v>
      </c>
      <c r="H68" s="21">
        <f>AVERAGE(Оценка_фальсификаций[[#This Row],[Ф. дума партии]:[Ф. мособлдума одномандатный]])</f>
        <v>29.931515151515118</v>
      </c>
      <c r="J68" s="13"/>
    </row>
    <row r="69" spans="1:10" x14ac:dyDescent="0.4">
      <c r="A69" s="10">
        <v>1822</v>
      </c>
      <c r="B69" s="1" t="s">
        <v>245</v>
      </c>
      <c r="C69" s="1">
        <v>749</v>
      </c>
      <c r="D69" s="13">
        <v>6.1515151515151274</v>
      </c>
      <c r="E69" s="13">
        <v>7.4872727272727033</v>
      </c>
      <c r="F69" s="13">
        <v>63.343030303030282</v>
      </c>
      <c r="G69" s="13">
        <v>41.267878787878772</v>
      </c>
      <c r="H69" s="21">
        <f>AVERAGE(Оценка_фальсификаций[[#This Row],[Ф. дума партии]:[Ф. мособлдума одномандатный]])</f>
        <v>29.562424242424221</v>
      </c>
      <c r="J69" s="13"/>
    </row>
    <row r="70" spans="1:10" x14ac:dyDescent="0.4">
      <c r="A70" s="10">
        <v>3875</v>
      </c>
      <c r="B70" s="1" t="s">
        <v>228</v>
      </c>
      <c r="C70" s="1">
        <v>1130</v>
      </c>
      <c r="D70" s="13">
        <v>22.496969696969686</v>
      </c>
      <c r="E70" s="13">
        <v>29.281212121212107</v>
      </c>
      <c r="F70" s="13">
        <v>36.80363636363635</v>
      </c>
      <c r="G70" s="13">
        <v>28.367272727272706</v>
      </c>
      <c r="H70" s="21">
        <f>AVERAGE(Оценка_фальсификаций[[#This Row],[Ф. дума партии]:[Ф. мособлдума одномандатный]])</f>
        <v>29.23727272727271</v>
      </c>
      <c r="J70" s="13"/>
    </row>
    <row r="71" spans="1:10" x14ac:dyDescent="0.4">
      <c r="A71" s="10">
        <v>1754</v>
      </c>
      <c r="B71" s="1" t="s">
        <v>228</v>
      </c>
      <c r="C71" s="1">
        <v>965</v>
      </c>
      <c r="D71" s="13">
        <v>16.556363636363614</v>
      </c>
      <c r="E71" s="13">
        <v>11.916363636363613</v>
      </c>
      <c r="F71" s="13">
        <v>34.79999999999999</v>
      </c>
      <c r="G71" s="13">
        <v>36.03030303030301</v>
      </c>
      <c r="H71" s="21">
        <f>AVERAGE(Оценка_фальсификаций[[#This Row],[Ф. дума партии]:[Ф. мособлдума одномандатный]])</f>
        <v>24.825757575757557</v>
      </c>
      <c r="J71" s="13"/>
    </row>
    <row r="72" spans="1:10" x14ac:dyDescent="0.4">
      <c r="A72" s="1">
        <v>1752</v>
      </c>
      <c r="B72" s="2" t="s">
        <v>228</v>
      </c>
      <c r="C72" s="2">
        <v>1418</v>
      </c>
      <c r="D72" s="13">
        <v>0.59757575757571146</v>
      </c>
      <c r="E72" s="13">
        <v>11.248484848484807</v>
      </c>
      <c r="F72" s="13">
        <v>36.487272727272696</v>
      </c>
      <c r="G72" s="13">
        <v>49.458181818181785</v>
      </c>
      <c r="H72" s="21">
        <f>AVERAGE(Оценка_фальсификаций[[#This Row],[Ф. дума партии]:[Ф. мособлдума одномандатный]])</f>
        <v>24.44787878787875</v>
      </c>
      <c r="J72" s="13"/>
    </row>
    <row r="73" spans="1:10" x14ac:dyDescent="0.4">
      <c r="A73" s="10">
        <v>1749</v>
      </c>
      <c r="B73" s="1" t="s">
        <v>228</v>
      </c>
      <c r="C73" s="1">
        <v>1723</v>
      </c>
      <c r="D73" s="13">
        <v>23.903030303030278</v>
      </c>
      <c r="E73" s="13">
        <v>11.494545454545431</v>
      </c>
      <c r="F73" s="13">
        <v>-2.109090909090952</v>
      </c>
      <c r="G73" s="13">
        <v>57.261818181818143</v>
      </c>
      <c r="H73" s="21">
        <f>AVERAGE(Оценка_фальсификаций[[#This Row],[Ф. дума партии]:[Ф. мособлдума одномандатный]])</f>
        <v>22.637575757575725</v>
      </c>
      <c r="J73" s="13"/>
    </row>
    <row r="74" spans="1:10" x14ac:dyDescent="0.4">
      <c r="A74" s="1">
        <v>1766</v>
      </c>
      <c r="B74" s="1" t="s">
        <v>228</v>
      </c>
      <c r="C74" s="1">
        <v>1117</v>
      </c>
      <c r="D74" s="13">
        <v>43.447272727272711</v>
      </c>
      <c r="E74" s="13">
        <v>12.759999999999977</v>
      </c>
      <c r="F74" s="13">
        <v>8.7175757575757373</v>
      </c>
      <c r="G74" s="13">
        <v>18.73575757575756</v>
      </c>
      <c r="H74" s="21">
        <f>AVERAGE(Оценка_фальсификаций[[#This Row],[Ф. дума партии]:[Ф. мособлдума одномандатный]])</f>
        <v>20.915151515151496</v>
      </c>
      <c r="J74" s="13"/>
    </row>
    <row r="75" spans="1:10" x14ac:dyDescent="0.4">
      <c r="A75" s="10">
        <v>1762</v>
      </c>
      <c r="B75" s="1" t="s">
        <v>228</v>
      </c>
      <c r="C75" s="1">
        <v>1585</v>
      </c>
      <c r="D75" s="13">
        <v>12.092121212121185</v>
      </c>
      <c r="E75" s="13">
        <v>15.115151515151496</v>
      </c>
      <c r="F75" s="13">
        <v>4.675151515151498</v>
      </c>
      <c r="G75" s="13">
        <v>45.169696969696943</v>
      </c>
      <c r="H75" s="21">
        <f>AVERAGE(Оценка_фальсификаций[[#This Row],[Ф. дума партии]:[Ф. мособлдума одномандатный]])</f>
        <v>19.263030303030281</v>
      </c>
      <c r="J75" s="13"/>
    </row>
    <row r="76" spans="1:10" x14ac:dyDescent="0.4">
      <c r="A76" s="10">
        <v>1742</v>
      </c>
      <c r="B76" s="1" t="s">
        <v>228</v>
      </c>
      <c r="C76" s="1">
        <v>700</v>
      </c>
      <c r="D76" s="13">
        <v>26.11757575757575</v>
      </c>
      <c r="E76" s="13">
        <v>13.990303030303018</v>
      </c>
      <c r="F76" s="13">
        <v>17.470303030303022</v>
      </c>
      <c r="G76" s="13">
        <v>14.587878787878779</v>
      </c>
      <c r="H76" s="21">
        <f>AVERAGE(Оценка_фальсификаций[[#This Row],[Ф. дума партии]:[Ф. мособлдума одномандатный]])</f>
        <v>18.041515151515142</v>
      </c>
      <c r="J76" s="13"/>
    </row>
    <row r="77" spans="1:10" x14ac:dyDescent="0.4">
      <c r="A77" s="10">
        <v>1795</v>
      </c>
      <c r="B77" s="1" t="s">
        <v>235</v>
      </c>
      <c r="C77" s="1">
        <v>1524</v>
      </c>
      <c r="D77" s="13">
        <v>-3.2339393939394085</v>
      </c>
      <c r="E77" s="13">
        <v>1.1599999999999824</v>
      </c>
      <c r="F77" s="13">
        <v>44.290909090909068</v>
      </c>
      <c r="G77" s="13">
        <v>24.043636363636324</v>
      </c>
      <c r="H77" s="21">
        <f>AVERAGE(Оценка_фальсификаций[[#This Row],[Ф. дума партии]:[Ф. мособлдума одномандатный]])</f>
        <v>16.565151515151491</v>
      </c>
      <c r="J77" s="13"/>
    </row>
    <row r="78" spans="1:10" x14ac:dyDescent="0.4">
      <c r="A78" s="1">
        <v>1797</v>
      </c>
      <c r="B78" s="1" t="s">
        <v>235</v>
      </c>
      <c r="C78" s="1">
        <v>1221</v>
      </c>
      <c r="D78" s="13">
        <v>28.156363636363608</v>
      </c>
      <c r="E78" s="13">
        <v>-21.653333333333364</v>
      </c>
      <c r="F78" s="13">
        <v>42.427878787878754</v>
      </c>
      <c r="G78" s="13">
        <v>10.018181818181787</v>
      </c>
      <c r="H78" s="21">
        <f>AVERAGE(Оценка_фальсификаций[[#This Row],[Ф. дума партии]:[Ф. мособлдума одномандатный]])</f>
        <v>14.737272727272696</v>
      </c>
      <c r="J78" s="13"/>
    </row>
    <row r="79" spans="1:10" x14ac:dyDescent="0.4">
      <c r="A79" s="10">
        <v>1748</v>
      </c>
      <c r="B79" s="1" t="s">
        <v>228</v>
      </c>
      <c r="C79" s="1">
        <v>1113</v>
      </c>
      <c r="D79" s="13">
        <v>21.82909090909088</v>
      </c>
      <c r="E79" s="13">
        <v>9.2096969696969353</v>
      </c>
      <c r="F79" s="13">
        <v>-0.59757575757578252</v>
      </c>
      <c r="G79" s="13">
        <v>27.453333333333291</v>
      </c>
      <c r="H79" s="21">
        <f>AVERAGE(Оценка_фальсификаций[[#This Row],[Ф. дума партии]:[Ф. мособлдума одномандатный]])</f>
        <v>14.473636363636331</v>
      </c>
      <c r="J79" s="13"/>
    </row>
    <row r="80" spans="1:10" x14ac:dyDescent="0.4">
      <c r="A80" s="10">
        <v>1825</v>
      </c>
      <c r="B80" s="1" t="s">
        <v>248</v>
      </c>
      <c r="C80" s="1">
        <v>2085</v>
      </c>
      <c r="D80" s="13">
        <v>12.162424242424208</v>
      </c>
      <c r="E80" s="13">
        <v>14.6933333333333</v>
      </c>
      <c r="F80" s="13">
        <v>24.113939393939347</v>
      </c>
      <c r="G80" s="13">
        <v>3.0933333333333053</v>
      </c>
      <c r="H80" s="21">
        <f>AVERAGE(Оценка_фальсификаций[[#This Row],[Ф. дума партии]:[Ф. мособлдума одномандатный]])</f>
        <v>13.51575757575754</v>
      </c>
      <c r="J80" s="13"/>
    </row>
    <row r="81" spans="1:10" x14ac:dyDescent="0.4">
      <c r="A81" s="10">
        <v>3873</v>
      </c>
      <c r="B81" s="1" t="s">
        <v>228</v>
      </c>
      <c r="C81" s="1">
        <v>1548</v>
      </c>
      <c r="D81" s="13">
        <v>0.94909090909088434</v>
      </c>
      <c r="E81" s="13">
        <v>12.232727272727232</v>
      </c>
      <c r="F81" s="13">
        <v>1.1599999999999824</v>
      </c>
      <c r="G81" s="13">
        <v>33.85090909090907</v>
      </c>
      <c r="H81" s="21">
        <f>AVERAGE(Оценка_фальсификаций[[#This Row],[Ф. дума партии]:[Ф. мособлдума одномандатный]])</f>
        <v>12.048181818181792</v>
      </c>
      <c r="J81" s="13"/>
    </row>
    <row r="82" spans="1:10" x14ac:dyDescent="0.4">
      <c r="A82" s="10">
        <v>1758</v>
      </c>
      <c r="B82" s="1" t="s">
        <v>228</v>
      </c>
      <c r="C82" s="1">
        <v>1109</v>
      </c>
      <c r="D82" s="13">
        <v>5.3430303030302895</v>
      </c>
      <c r="E82" s="13">
        <v>1.9684848484848345</v>
      </c>
      <c r="F82" s="13">
        <v>-16.837575757575777</v>
      </c>
      <c r="G82" s="13">
        <v>26.082424242424217</v>
      </c>
      <c r="H82" s="21">
        <f>AVERAGE(Оценка_фальсификаций[[#This Row],[Ф. дума партии]:[Ф. мособлдума одномандатный]])</f>
        <v>4.1390909090908909</v>
      </c>
      <c r="J82" s="13"/>
    </row>
    <row r="83" spans="1:10" x14ac:dyDescent="0.4">
      <c r="A83" s="1">
        <v>1761</v>
      </c>
      <c r="B83" s="1" t="s">
        <v>228</v>
      </c>
      <c r="C83" s="1">
        <v>1510</v>
      </c>
      <c r="D83" s="13">
        <v>1.9684848484848061</v>
      </c>
      <c r="E83" s="13">
        <v>5.2024242424242004</v>
      </c>
      <c r="F83" s="13">
        <v>-16.380606060606098</v>
      </c>
      <c r="G83" s="13">
        <v>24.641212121212078</v>
      </c>
      <c r="H83" s="21">
        <f>AVERAGE(Оценка_фальсификаций[[#This Row],[Ф. дума партии]:[Ф. мособлдума одномандатный]])</f>
        <v>3.8578787878787466</v>
      </c>
      <c r="J83" s="13"/>
    </row>
    <row r="84" spans="1:10" x14ac:dyDescent="0.4">
      <c r="A84" s="10">
        <v>1806</v>
      </c>
      <c r="B84" s="1" t="s">
        <v>237</v>
      </c>
      <c r="C84" s="1">
        <v>1401</v>
      </c>
      <c r="D84" s="13">
        <v>18.384242424242387</v>
      </c>
      <c r="E84" s="13">
        <v>-10.158787878787891</v>
      </c>
      <c r="F84" s="13">
        <v>-6.0109090909091236</v>
      </c>
      <c r="G84" s="13">
        <v>4.6399999999999721</v>
      </c>
      <c r="H84" s="21">
        <f>AVERAGE(Оценка_фальсификаций[[#This Row],[Ф. дума партии]:[Ф. мособлдума одномандатный]])</f>
        <v>1.7136363636363363</v>
      </c>
      <c r="J84" s="13"/>
    </row>
    <row r="85" spans="1:10" x14ac:dyDescent="0.4">
      <c r="A85" s="1">
        <v>1773</v>
      </c>
      <c r="B85" s="1" t="s">
        <v>228</v>
      </c>
      <c r="C85" s="1">
        <v>1108</v>
      </c>
      <c r="D85" s="13">
        <v>22.496969696969671</v>
      </c>
      <c r="E85" s="13">
        <v>-2.0036363636363888</v>
      </c>
      <c r="F85" s="13">
        <v>-9.6666666666666856</v>
      </c>
      <c r="G85" s="13">
        <v>-7.3466666666666924</v>
      </c>
      <c r="H85" s="21">
        <f>AVERAGE(Оценка_фальсификаций[[#This Row],[Ф. дума партии]:[Ф. мособлдума одномандатный]])</f>
        <v>0.86999999999997613</v>
      </c>
      <c r="J85" s="13"/>
    </row>
    <row r="86" spans="1:10" x14ac:dyDescent="0.4">
      <c r="A86" s="1">
        <v>1757</v>
      </c>
      <c r="B86" s="1" t="s">
        <v>228</v>
      </c>
      <c r="C86" s="1">
        <v>1420</v>
      </c>
      <c r="D86" s="13">
        <v>-12.760000000000034</v>
      </c>
      <c r="E86" s="13">
        <v>-10.686060606060636</v>
      </c>
      <c r="F86" s="13">
        <v>3.3393939393939007</v>
      </c>
      <c r="G86" s="13">
        <v>4.0072727272727207</v>
      </c>
      <c r="H86" s="21">
        <f>AVERAGE(Оценка_фальсификаций[[#This Row],[Ф. дума партии]:[Ф. мособлдума одномандатный]])</f>
        <v>-4.024848484848512</v>
      </c>
      <c r="J86" s="13"/>
    </row>
    <row r="87" spans="1:10" x14ac:dyDescent="0.4">
      <c r="A87" s="1">
        <v>1811</v>
      </c>
      <c r="B87" s="1" t="s">
        <v>237</v>
      </c>
      <c r="C87" s="1">
        <v>806</v>
      </c>
      <c r="D87" s="13">
        <v>-9.7018181818182043</v>
      </c>
      <c r="E87" s="13">
        <v>16.802424242424223</v>
      </c>
      <c r="F87" s="13">
        <v>-42.884848484848504</v>
      </c>
      <c r="G87" s="13">
        <v>18.595151515151507</v>
      </c>
      <c r="H87" s="21">
        <f>AVERAGE(Оценка_фальсификаций[[#This Row],[Ф. дума партии]:[Ф. мособлдума одномандатный]])</f>
        <v>-4.2972727272727447</v>
      </c>
      <c r="J87" s="13"/>
    </row>
    <row r="88" spans="1:10" x14ac:dyDescent="0.4">
      <c r="A88" s="1">
        <v>1792</v>
      </c>
      <c r="B88" s="1" t="s">
        <v>233</v>
      </c>
      <c r="C88" s="1">
        <v>259</v>
      </c>
      <c r="D88" s="13">
        <v>-5.2727272727272769</v>
      </c>
      <c r="E88" s="13">
        <v>-7.4169696969697014</v>
      </c>
      <c r="F88" s="13">
        <v>-4.4993939393939453</v>
      </c>
      <c r="G88" s="13">
        <v>-2.1090909090909147</v>
      </c>
      <c r="H88" s="21">
        <f>AVERAGE(Оценка_фальсификаций[[#This Row],[Ф. дума партии]:[Ф. мособлдума одномандатный]])</f>
        <v>-4.8245454545454596</v>
      </c>
      <c r="J88" s="13"/>
    </row>
    <row r="89" spans="1:10" x14ac:dyDescent="0.4">
      <c r="A89" s="1">
        <v>1793</v>
      </c>
      <c r="B89" s="2" t="s">
        <v>234</v>
      </c>
      <c r="C89" s="2">
        <v>192</v>
      </c>
      <c r="D89" s="13">
        <v>-2.812121212121216</v>
      </c>
      <c r="E89" s="13">
        <v>-11.353939393939397</v>
      </c>
      <c r="F89" s="13">
        <v>3.7963636363636297</v>
      </c>
      <c r="G89" s="13">
        <v>-11.91636363636364</v>
      </c>
      <c r="H89" s="21">
        <f>AVERAGE(Оценка_фальсификаций[[#This Row],[Ф. дума партии]:[Ф. мособлдума одномандатный]])</f>
        <v>-5.5715151515151558</v>
      </c>
      <c r="J89" s="13"/>
    </row>
    <row r="90" spans="1:10" x14ac:dyDescent="0.4">
      <c r="A90" s="10">
        <v>1783</v>
      </c>
      <c r="B90" s="1" t="s">
        <v>231</v>
      </c>
      <c r="C90" s="1">
        <v>1039</v>
      </c>
      <c r="D90" s="13">
        <v>-5.132121212121227</v>
      </c>
      <c r="E90" s="13">
        <v>-17.224242424242448</v>
      </c>
      <c r="F90" s="13">
        <v>13.322424242424233</v>
      </c>
      <c r="G90" s="13">
        <v>-15.747878787878804</v>
      </c>
      <c r="H90" s="21">
        <f>AVERAGE(Оценка_фальсификаций[[#This Row],[Ф. дума партии]:[Ф. мособлдума одномандатный]])</f>
        <v>-6.1954545454545613</v>
      </c>
      <c r="J90" s="13"/>
    </row>
    <row r="91" spans="1:10" x14ac:dyDescent="0.4">
      <c r="A91" s="10">
        <v>3876</v>
      </c>
      <c r="B91" s="1" t="s">
        <v>228</v>
      </c>
      <c r="C91" s="1">
        <v>965</v>
      </c>
      <c r="D91" s="13">
        <v>-7.8036363636363859</v>
      </c>
      <c r="E91" s="13">
        <v>-18.735757575757596</v>
      </c>
      <c r="F91" s="13">
        <v>-5.132121212121227</v>
      </c>
      <c r="G91" s="13">
        <v>6.0460606060605926</v>
      </c>
      <c r="H91" s="21">
        <f>AVERAGE(Оценка_фальсификаций[[#This Row],[Ф. дума партии]:[Ф. мособлдума одномандатный]])</f>
        <v>-6.406363636363654</v>
      </c>
      <c r="J91" s="13"/>
    </row>
    <row r="92" spans="1:10" x14ac:dyDescent="0.4">
      <c r="A92" s="10">
        <v>1805</v>
      </c>
      <c r="B92" s="1" t="s">
        <v>237</v>
      </c>
      <c r="C92" s="1">
        <v>1062</v>
      </c>
      <c r="D92" s="13">
        <v>-9.2096969696969921</v>
      </c>
      <c r="E92" s="13">
        <v>23.129696969696958</v>
      </c>
      <c r="F92" s="13">
        <v>-36.381818181818204</v>
      </c>
      <c r="G92" s="13">
        <v>-10.72121212121214</v>
      </c>
      <c r="H92" s="21">
        <f>AVERAGE(Оценка_фальсификаций[[#This Row],[Ф. дума партии]:[Ф. мособлдума одномандатный]])</f>
        <v>-8.2957575757575945</v>
      </c>
      <c r="J92" s="13"/>
    </row>
    <row r="93" spans="1:10" x14ac:dyDescent="0.4">
      <c r="A93" s="10">
        <v>3881</v>
      </c>
      <c r="B93" s="1" t="s">
        <v>232</v>
      </c>
      <c r="C93" s="1">
        <v>1174</v>
      </c>
      <c r="D93" s="13">
        <v>-12.021818181818205</v>
      </c>
      <c r="E93" s="13">
        <v>-7.6981818181818511</v>
      </c>
      <c r="F93" s="13">
        <v>-14.693333333333356</v>
      </c>
      <c r="G93" s="13">
        <v>-5.8351515151515514</v>
      </c>
      <c r="H93" s="21">
        <f>AVERAGE(Оценка_фальсификаций[[#This Row],[Ф. дума партии]:[Ф. мособлдума одномандатный]])</f>
        <v>-10.062121212121241</v>
      </c>
      <c r="J93" s="13"/>
    </row>
    <row r="94" spans="1:10" x14ac:dyDescent="0.4">
      <c r="A94" s="10">
        <v>1794</v>
      </c>
      <c r="B94" s="1" t="s">
        <v>232</v>
      </c>
      <c r="C94" s="1">
        <v>332</v>
      </c>
      <c r="D94" s="13">
        <v>-12.478787878787884</v>
      </c>
      <c r="E94" s="13">
        <v>-3.0933333333333408</v>
      </c>
      <c r="F94" s="13">
        <v>-3.6206060606060682</v>
      </c>
      <c r="G94" s="13">
        <v>-27.066666666666677</v>
      </c>
      <c r="H94" s="21">
        <f>AVERAGE(Оценка_фальсификаций[[#This Row],[Ф. дума партии]:[Ф. мособлдума одномандатный]])</f>
        <v>-11.564848484848493</v>
      </c>
      <c r="J94" s="13"/>
    </row>
    <row r="95" spans="1:10" x14ac:dyDescent="0.4">
      <c r="A95" s="10">
        <v>3880</v>
      </c>
      <c r="B95" s="1" t="s">
        <v>231</v>
      </c>
      <c r="C95" s="1">
        <v>1746</v>
      </c>
      <c r="D95" s="13">
        <v>-21.126060606060634</v>
      </c>
      <c r="E95" s="13">
        <v>-24.430303030303051</v>
      </c>
      <c r="F95" s="13">
        <v>-28.964848484848503</v>
      </c>
      <c r="G95" s="13">
        <v>-3.7963636363636653</v>
      </c>
      <c r="H95" s="21">
        <f>AVERAGE(Оценка_фальсификаций[[#This Row],[Ф. дума партии]:[Ф. мособлдума одномандатный]])</f>
        <v>-19.579393939393963</v>
      </c>
      <c r="J95" s="13"/>
    </row>
    <row r="96" spans="1:10" x14ac:dyDescent="0.4">
      <c r="A96" s="10">
        <v>3885</v>
      </c>
      <c r="B96" s="1" t="s">
        <v>237</v>
      </c>
      <c r="C96" s="1">
        <v>1161</v>
      </c>
      <c r="D96" s="13">
        <v>-7.1357575757575944</v>
      </c>
      <c r="E96" s="13">
        <v>-34.413333333333355</v>
      </c>
      <c r="F96" s="13">
        <v>-22.215757575757607</v>
      </c>
      <c r="G96" s="13">
        <v>-21.442424242424281</v>
      </c>
      <c r="H96" s="21">
        <f>AVERAGE(Оценка_фальсификаций[[#This Row],[Ф. дума партии]:[Ф. мособлдума одномандатный]])</f>
        <v>-21.301818181818209</v>
      </c>
      <c r="J96" s="13"/>
    </row>
    <row r="97" spans="1:10" x14ac:dyDescent="0.4">
      <c r="A97" s="10">
        <v>1813</v>
      </c>
      <c r="B97" s="1" t="s">
        <v>239</v>
      </c>
      <c r="C97" s="1">
        <v>2030</v>
      </c>
      <c r="D97" s="13">
        <v>-2.0739393939394262</v>
      </c>
      <c r="E97" s="13">
        <v>-13.884848484848504</v>
      </c>
      <c r="F97" s="13">
        <v>-30.44121212121216</v>
      </c>
      <c r="G97" s="13">
        <v>-40.002424242424283</v>
      </c>
      <c r="H97" s="21">
        <f>AVERAGE(Оценка_фальсификаций[[#This Row],[Ф. дума партии]:[Ф. мособлдума одномандатный]])</f>
        <v>-21.600606060606093</v>
      </c>
      <c r="J97" s="13"/>
    </row>
    <row r="98" spans="1:10" x14ac:dyDescent="0.4">
      <c r="A98" s="1">
        <v>1807</v>
      </c>
      <c r="B98" s="1" t="s">
        <v>237</v>
      </c>
      <c r="C98" s="1">
        <v>1112</v>
      </c>
      <c r="D98" s="13">
        <v>-27.593939393939422</v>
      </c>
      <c r="E98" s="13">
        <v>-38.315151515151541</v>
      </c>
      <c r="F98" s="13">
        <v>-29.42181818181821</v>
      </c>
      <c r="G98" s="13">
        <v>2.8121212121211983</v>
      </c>
      <c r="H98" s="21">
        <f>AVERAGE(Оценка_фальсификаций[[#This Row],[Ф. дума партии]:[Ф. мособлдума одномандатный]])</f>
        <v>-23.129696969696994</v>
      </c>
      <c r="J98" s="13"/>
    </row>
    <row r="99" spans="1:10" x14ac:dyDescent="0.4">
      <c r="A99" s="1">
        <v>1791</v>
      </c>
      <c r="B99" s="1" t="s">
        <v>232</v>
      </c>
      <c r="C99" s="1">
        <v>1259</v>
      </c>
      <c r="D99" s="13">
        <v>-42.603636363636383</v>
      </c>
      <c r="E99" s="13">
        <v>-35.889696969696999</v>
      </c>
      <c r="F99" s="13">
        <v>-13.498181818181834</v>
      </c>
      <c r="G99" s="13">
        <v>-39.791515151515185</v>
      </c>
      <c r="H99" s="21">
        <f>AVERAGE(Оценка_фальсификаций[[#This Row],[Ф. дума партии]:[Ф. мособлдума одномандатный]])</f>
        <v>-32.945757575757597</v>
      </c>
      <c r="J99" s="13"/>
    </row>
    <row r="100" spans="1:10" x14ac:dyDescent="0.4">
      <c r="A100" s="1">
        <v>1812</v>
      </c>
      <c r="B100" s="1" t="s">
        <v>238</v>
      </c>
      <c r="C100" s="1">
        <v>555</v>
      </c>
      <c r="D100" s="13">
        <v>-40.986666666666672</v>
      </c>
      <c r="E100" s="13">
        <v>-33.921212121212136</v>
      </c>
      <c r="F100" s="13">
        <v>-31.566060606060613</v>
      </c>
      <c r="G100" s="13">
        <v>-28.015757575757586</v>
      </c>
      <c r="H100" s="21">
        <f>AVERAGE(Оценка_фальсификаций[[#This Row],[Ф. дума партии]:[Ф. мособлдума одномандатный]])</f>
        <v>-33.622424242424252</v>
      </c>
      <c r="J100" s="13"/>
    </row>
    <row r="101" spans="1:10" x14ac:dyDescent="0.4">
      <c r="A101" s="1">
        <v>1802</v>
      </c>
      <c r="B101" s="1" t="s">
        <v>235</v>
      </c>
      <c r="C101" s="1">
        <v>1116</v>
      </c>
      <c r="D101" s="13">
        <v>-27.242424242424264</v>
      </c>
      <c r="E101" s="13">
        <v>-36.452121212121227</v>
      </c>
      <c r="F101" s="13">
        <v>-31.636363636363669</v>
      </c>
      <c r="G101" s="13">
        <v>-48.01696969696971</v>
      </c>
      <c r="H101" s="21">
        <f>AVERAGE(Оценка_фальсификаций[[#This Row],[Ф. дума партии]:[Ф. мособлдума одномандатный]])</f>
        <v>-35.836969696969717</v>
      </c>
      <c r="J101" s="13"/>
    </row>
    <row r="102" spans="1:10" x14ac:dyDescent="0.4">
      <c r="A102" s="10">
        <v>1809</v>
      </c>
      <c r="B102" s="1" t="s">
        <v>237</v>
      </c>
      <c r="C102" s="1">
        <v>1200</v>
      </c>
      <c r="D102" s="13">
        <v>-28.261818181818214</v>
      </c>
      <c r="E102" s="13">
        <v>-45.029090909090925</v>
      </c>
      <c r="F102" s="13">
        <v>-35.608484848484878</v>
      </c>
      <c r="G102" s="13">
        <v>-39.123636363636393</v>
      </c>
      <c r="H102" s="21">
        <f>AVERAGE(Оценка_фальсификаций[[#This Row],[Ф. дума партии]:[Ф. мособлдума одномандатный]])</f>
        <v>-37.005757575757599</v>
      </c>
      <c r="J102" s="13"/>
    </row>
    <row r="103" spans="1:10" x14ac:dyDescent="0.4">
      <c r="A103" s="10">
        <v>1788</v>
      </c>
      <c r="B103" s="1" t="s">
        <v>231</v>
      </c>
      <c r="C103" s="1">
        <v>1218</v>
      </c>
      <c r="D103" s="13">
        <v>-36.452121212121241</v>
      </c>
      <c r="E103" s="13">
        <v>-34.378181818181829</v>
      </c>
      <c r="F103" s="13">
        <v>-56.593939393939422</v>
      </c>
      <c r="G103" s="13">
        <v>-51.91878787878791</v>
      </c>
      <c r="H103" s="21">
        <f>AVERAGE(Оценка_фальсификаций[[#This Row],[Ф. дума партии]:[Ф. мособлдума одномандатный]])</f>
        <v>-44.835757575757597</v>
      </c>
      <c r="J103" s="13"/>
    </row>
    <row r="104" spans="1:10" x14ac:dyDescent="0.4">
      <c r="A104" s="10">
        <v>1804</v>
      </c>
      <c r="B104" s="1" t="s">
        <v>237</v>
      </c>
      <c r="C104" s="1">
        <v>1421</v>
      </c>
      <c r="D104" s="13">
        <v>-37.858181818181862</v>
      </c>
      <c r="E104" s="13">
        <v>-56.418181818181864</v>
      </c>
      <c r="F104" s="13">
        <v>-51.110303030303058</v>
      </c>
      <c r="G104" s="13">
        <v>-58.597575757575783</v>
      </c>
      <c r="H104" s="21">
        <f>AVERAGE(Оценка_фальсификаций[[#This Row],[Ф. дума партии]:[Ф. мособлдума одномандатный]])</f>
        <v>-50.996060606060638</v>
      </c>
      <c r="J104" s="13"/>
    </row>
    <row r="105" spans="1:10" x14ac:dyDescent="0.4">
      <c r="A105" s="10">
        <v>1808</v>
      </c>
      <c r="B105" s="1" t="s">
        <v>237</v>
      </c>
      <c r="C105" s="1">
        <v>1251</v>
      </c>
      <c r="D105" s="13">
        <v>-63.975757575757598</v>
      </c>
      <c r="E105" s="13">
        <v>-60.320000000000036</v>
      </c>
      <c r="F105" s="13">
        <v>-80.215757575757607</v>
      </c>
      <c r="G105" s="13">
        <v>-59.160000000000039</v>
      </c>
      <c r="H105" s="21">
        <f>AVERAGE(Оценка_фальсификаций[[#This Row],[Ф. дума партии]:[Ф. мособлдума одномандатный]])</f>
        <v>-65.91787878787882</v>
      </c>
      <c r="J105" s="13"/>
    </row>
    <row r="106" spans="1:10" x14ac:dyDescent="0.4">
      <c r="A106" s="1">
        <f>SUBTOTAL(103,Оценка_фальсификаций[УИК])</f>
        <v>104</v>
      </c>
      <c r="C106" s="1">
        <f>SUBTOTAL(109,Оценка_фальсификаций[Избирателей в списках])</f>
        <v>132218</v>
      </c>
      <c r="D106" s="13">
        <f>SUBTOTAL(109,Оценка_фальсификаций[Ф. дума партии])</f>
        <v>15606.28848484849</v>
      </c>
      <c r="E106" s="13">
        <f>SUBTOTAL(109,Оценка_фальсификаций[Ф. мособлдума партии])</f>
        <v>14394.08848484848</v>
      </c>
      <c r="F106" s="13">
        <f>SUBTOTAL(109,Оценка_фальсификаций[Ф. дума одномандатный])</f>
        <v>13082.198787878782</v>
      </c>
      <c r="G106" s="13">
        <f>SUBTOTAL(109,Оценка_фальсификаций[Ф. мособлдума одномандатный])</f>
        <v>12210.687272727271</v>
      </c>
      <c r="H106" s="21">
        <f>SUBTOTAL(109,Оценка_фальсификаций[Ф. наборов бюллетеней])</f>
        <v>13823.315757575747</v>
      </c>
      <c r="I106" s="1"/>
    </row>
    <row r="107" spans="1:10" s="3" customFormat="1" x14ac:dyDescent="0.4">
      <c r="E107" s="13"/>
      <c r="F107" s="13"/>
      <c r="G107" s="13"/>
      <c r="H107" s="21"/>
      <c r="I107" s="13"/>
    </row>
  </sheetData>
  <pageMargins left="0.7" right="0.7" top="0.75" bottom="0.75" header="0.3" footer="0.3"/>
  <pageSetup paperSize="9"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Дума партии</vt:lpstr>
      <vt:lpstr>Мособлдума партии</vt:lpstr>
      <vt:lpstr>Дума одномандатный</vt:lpstr>
      <vt:lpstr>Мособлдума одномандатный</vt:lpstr>
      <vt:lpstr>Оценка фальсификаций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2021-12-20T04:15:22Z</dcterms:created>
  <dcterms:modified xsi:type="dcterms:W3CDTF">2022-01-10T00:44:27Z</dcterms:modified>
</cp:coreProperties>
</file>