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tables/table2.xml" ContentType="application/vnd.openxmlformats-officedocument.spreadsheetml.table+xml"/>
  <Override PartName="/xl/slicers/slicer2.xml" ContentType="application/vnd.ms-excel.slicer+xml"/>
  <Override PartName="/xl/charts/chart3.xml" ContentType="application/vnd.openxmlformats-officedocument.drawingml.chart+xml"/>
  <Override PartName="/xl/drawings/drawing5.xml" ContentType="application/vnd.openxmlformats-officedocument.drawing+xml"/>
  <Override PartName="/xl/tables/table3.xml" ContentType="application/vnd.openxmlformats-officedocument.spreadsheetml.table+xml"/>
  <Override PartName="/xl/slicers/slicer3.xml" ContentType="application/vnd.ms-excel.slicer+xml"/>
  <Override PartName="/xl/charts/chart4.xml" ContentType="application/vnd.openxmlformats-officedocument.drawingml.chart+xml"/>
  <Override PartName="/xl/drawings/drawing6.xml" ContentType="application/vnd.openxmlformats-officedocument.drawing+xml"/>
  <Override PartName="/xl/tables/table4.xml" ContentType="application/vnd.openxmlformats-officedocument.spreadsheetml.table+xml"/>
  <Override PartName="/xl/slicers/slicer4.xml" ContentType="application/vnd.ms-excel.slicer+xml"/>
  <Override PartName="/xl/charts/chart5.xml" ContentType="application/vnd.openxmlformats-officedocument.drawingml.chart+xml"/>
  <Override PartName="/xl/drawings/drawing7.xml" ContentType="application/vnd.openxmlformats-officedocument.drawing+xml"/>
  <Override PartName="/xl/tables/table5.xml" ContentType="application/vnd.openxmlformats-officedocument.spreadsheetml.table+xml"/>
  <Override PartName="/xl/slicers/slicer5.xml" ContentType="application/vnd.ms-excel.slicer+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tables/table6.xml" ContentType="application/vnd.openxmlformats-officedocument.spreadsheetml.table+xml"/>
  <Override PartName="/xl/slicers/slicer6.xml" ContentType="application/vnd.ms-excel.slicer+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tables/table7.xml" ContentType="application/vnd.openxmlformats-officedocument.spreadsheetml.table+xml"/>
  <Override PartName="/xl/slicers/slicer7.xml" ContentType="application/vnd.ms-excel.slicer+xml"/>
  <Override PartName="/xl/charts/chart8.xml" ContentType="application/vnd.openxmlformats-officedocument.drawingml.chart+xml"/>
  <Override PartName="/xl/drawings/drawing12.xml" ContentType="application/vnd.openxmlformats-officedocument.drawing+xml"/>
  <Override PartName="/xl/tables/table8.xml" ContentType="application/vnd.openxmlformats-officedocument.spreadsheetml.table+xml"/>
  <Override PartName="/xl/slicers/slicer8.xml" ContentType="application/vnd.ms-excel.slicer+xml"/>
  <Override PartName="/xl/charts/chart9.xml" ContentType="application/vnd.openxmlformats-officedocument.drawingml.chart+xml"/>
  <Override PartName="/xl/drawings/drawing13.xml" ContentType="application/vnd.openxmlformats-officedocument.drawing+xml"/>
  <Override PartName="/xl/tables/table9.xml" ContentType="application/vnd.openxmlformats-officedocument.spreadsheetml.table+xml"/>
  <Override PartName="/xl/slicers/slicer9.xml" ContentType="application/vnd.ms-excel.slicer+xml"/>
  <Override PartName="/xl/charts/chart10.xml" ContentType="application/vnd.openxmlformats-officedocument.drawingml.chart+xml"/>
  <Override PartName="/xl/drawings/drawing14.xml" ContentType="application/vnd.openxmlformats-officedocument.drawing+xml"/>
  <Override PartName="/xl/tables/table10.xml" ContentType="application/vnd.openxmlformats-officedocument.spreadsheetml.table+xml"/>
  <Override PartName="/xl/slicers/slicer10.xml" ContentType="application/vnd.ms-excel.slicer+xml"/>
  <Override PartName="/xl/charts/chart11.xml" ContentType="application/vnd.openxmlformats-officedocument.drawingml.chart+xml"/>
  <Override PartName="/xl/drawings/drawing15.xml" ContentType="application/vnd.openxmlformats-officedocument.drawing+xml"/>
  <Override PartName="/xl/tables/table11.xml" ContentType="application/vnd.openxmlformats-officedocument.spreadsheetml.table+xml"/>
  <Override PartName="/xl/slicers/slicer11.xml" ContentType="application/vnd.ms-excel.slicer+xml"/>
  <Override PartName="/xl/charts/chart12.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filterPrivacy="1" defaultThemeVersion="166925"/>
  <xr:revisionPtr revIDLastSave="0" documentId="13_ncr:1_{DB2D1DED-206B-4BFA-9B22-AAD5A58BDF42}" xr6:coauthVersionLast="45" xr6:coauthVersionMax="45" xr10:uidLastSave="{00000000-0000-0000-0000-000000000000}"/>
  <bookViews>
    <workbookView xWindow="-100" yWindow="-100" windowWidth="24172" windowHeight="14725" tabRatio="752" xr2:uid="{B9BD73D1-11A8-46DD-8678-3D8C7901D3BB}"/>
  </bookViews>
  <sheets>
    <sheet name="Партии (единый округ)" sheetId="1" r:id="rId1"/>
    <sheet name="Одномандатный №1" sheetId="6" r:id="rId2"/>
    <sheet name="№2" sheetId="8" r:id="rId3"/>
    <sheet name="№3" sheetId="9" r:id="rId4"/>
    <sheet name="№4" sheetId="7" r:id="rId5"/>
    <sheet name="№5" sheetId="10" r:id="rId6"/>
    <sheet name="№6" sheetId="11" r:id="rId7"/>
    <sheet name="№7" sheetId="12" r:id="rId8"/>
    <sheet name="№8" sheetId="13" r:id="rId9"/>
    <sheet name="№9" sheetId="14" r:id="rId10"/>
    <sheet name="№10" sheetId="15" r:id="rId11"/>
  </sheets>
  <definedNames>
    <definedName name="Slicer_КОИБ">#N/A</definedName>
    <definedName name="Slicer_КОИБ1">#N/A</definedName>
    <definedName name="Slicer_КОИБ11">#N/A</definedName>
    <definedName name="Slicer_КОИБ111">#N/A</definedName>
    <definedName name="Slicer_КОИБ112">#N/A</definedName>
    <definedName name="Slicer_КОИБ113">#N/A</definedName>
    <definedName name="Slicer_КОИБ114">#N/A</definedName>
    <definedName name="Slicer_КОИБ115">#N/A</definedName>
    <definedName name="Slicer_КОИБ116">#N/A</definedName>
    <definedName name="Slicer_КОИБ117">#N/A</definedName>
    <definedName name="Slicer_КОИБ118">#N/A</definedName>
  </definedNames>
  <calcPr calcId="18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2"/>
        <x14:slicerCache r:id="rId13"/>
        <x14:slicerCache r:id="rId14"/>
        <x14:slicerCache r:id="rId15"/>
        <x14:slicerCache r:id="rId16"/>
        <x14:slicerCache r:id="rId17"/>
        <x14:slicerCache r:id="rId18"/>
        <x14:slicerCache r:id="rId19"/>
        <x14:slicerCache r:id="rId20"/>
        <x14:slicerCache r:id="rId21"/>
        <x14:slicerCache r:id="rId2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1" i="1" l="1"/>
  <c r="AF41" i="1"/>
  <c r="O7" i="15" l="1"/>
  <c r="AC7" i="15" s="1"/>
  <c r="K7" i="15"/>
  <c r="J7" i="15"/>
  <c r="E7" i="15"/>
  <c r="O6" i="15"/>
  <c r="AC6" i="15" s="1"/>
  <c r="K6" i="15"/>
  <c r="J6" i="15"/>
  <c r="E6" i="15"/>
  <c r="AG5" i="15"/>
  <c r="O5" i="15"/>
  <c r="AC5" i="15" s="1"/>
  <c r="K5" i="15"/>
  <c r="J5" i="15"/>
  <c r="E5" i="15"/>
  <c r="O4" i="15"/>
  <c r="AC4" i="15" s="1"/>
  <c r="K4" i="15"/>
  <c r="J4" i="15"/>
  <c r="E4" i="15"/>
  <c r="O3" i="15"/>
  <c r="AC3" i="15" s="1"/>
  <c r="K3" i="15"/>
  <c r="J3" i="15"/>
  <c r="E3" i="15"/>
  <c r="O5" i="14"/>
  <c r="AI5" i="14" s="1"/>
  <c r="K5" i="14"/>
  <c r="J5" i="14"/>
  <c r="E5" i="14"/>
  <c r="O4" i="14"/>
  <c r="AI4" i="14" s="1"/>
  <c r="K4" i="14"/>
  <c r="J4" i="14"/>
  <c r="E4" i="14"/>
  <c r="O3" i="14"/>
  <c r="AI3" i="14" s="1"/>
  <c r="K3" i="14"/>
  <c r="J3" i="14"/>
  <c r="E3" i="14"/>
  <c r="O4" i="13"/>
  <c r="AG4" i="13" s="1"/>
  <c r="K4" i="13"/>
  <c r="J4" i="13"/>
  <c r="E4" i="13"/>
  <c r="O3" i="13"/>
  <c r="AK3" i="13" s="1"/>
  <c r="K3" i="13"/>
  <c r="J3" i="13"/>
  <c r="E3" i="13"/>
  <c r="AC4" i="11"/>
  <c r="AA4" i="11"/>
  <c r="O4" i="11"/>
  <c r="Y4" i="11" s="1"/>
  <c r="K4" i="11"/>
  <c r="J4" i="11"/>
  <c r="E4" i="11"/>
  <c r="O3" i="11"/>
  <c r="W3" i="11" s="1"/>
  <c r="K3" i="11"/>
  <c r="J3" i="11"/>
  <c r="E3" i="11"/>
  <c r="O5" i="10"/>
  <c r="AC5" i="10" s="1"/>
  <c r="K5" i="10"/>
  <c r="J5" i="10"/>
  <c r="E5" i="10"/>
  <c r="AG4" i="10"/>
  <c r="AE4" i="10"/>
  <c r="R4" i="10"/>
  <c r="O4" i="10"/>
  <c r="AC4" i="10" s="1"/>
  <c r="K4" i="10"/>
  <c r="J4" i="10"/>
  <c r="E4" i="10"/>
  <c r="O3" i="10"/>
  <c r="AC3" i="10" s="1"/>
  <c r="K3" i="10"/>
  <c r="J3" i="10"/>
  <c r="E3" i="10"/>
  <c r="O4" i="7"/>
  <c r="AC4" i="7" s="1"/>
  <c r="K4" i="7"/>
  <c r="J4" i="7"/>
  <c r="E4" i="7"/>
  <c r="O3" i="7"/>
  <c r="AG3" i="7" s="1"/>
  <c r="K3" i="7"/>
  <c r="J3" i="7"/>
  <c r="E3" i="7"/>
  <c r="O5" i="9"/>
  <c r="AE5" i="9" s="1"/>
  <c r="K5" i="9"/>
  <c r="J5" i="9"/>
  <c r="E5" i="9"/>
  <c r="O4" i="9"/>
  <c r="AE4" i="9" s="1"/>
  <c r="K4" i="9"/>
  <c r="J4" i="9"/>
  <c r="E4" i="9"/>
  <c r="O3" i="9"/>
  <c r="AE3" i="9" s="1"/>
  <c r="K3" i="9"/>
  <c r="J3" i="9"/>
  <c r="E3" i="9"/>
  <c r="O5" i="8"/>
  <c r="AA5" i="8" s="1"/>
  <c r="K5" i="8"/>
  <c r="J5" i="8"/>
  <c r="E5" i="8"/>
  <c r="O4" i="8"/>
  <c r="Y4" i="8" s="1"/>
  <c r="K4" i="8"/>
  <c r="J4" i="8"/>
  <c r="E4" i="8"/>
  <c r="O3" i="8"/>
  <c r="W3" i="8" s="1"/>
  <c r="K3" i="8"/>
  <c r="J3" i="8"/>
  <c r="E3" i="8"/>
  <c r="AC7" i="6"/>
  <c r="Y7" i="6"/>
  <c r="O7" i="6"/>
  <c r="AE7" i="6" s="1"/>
  <c r="K7" i="6"/>
  <c r="J7" i="6"/>
  <c r="E7" i="6"/>
  <c r="O6" i="6"/>
  <c r="AE6" i="6" s="1"/>
  <c r="K6" i="6"/>
  <c r="J6" i="6"/>
  <c r="E6" i="6"/>
  <c r="AG5" i="6"/>
  <c r="AA5" i="6"/>
  <c r="Y5" i="6"/>
  <c r="O5" i="6"/>
  <c r="AE5" i="6" s="1"/>
  <c r="K5" i="6"/>
  <c r="J5" i="6"/>
  <c r="E5" i="6"/>
  <c r="O4" i="6"/>
  <c r="AE4" i="6" s="1"/>
  <c r="K4" i="6"/>
  <c r="J4" i="6"/>
  <c r="E4" i="6"/>
  <c r="O3" i="6"/>
  <c r="AE3" i="6" s="1"/>
  <c r="K3" i="6"/>
  <c r="J3" i="6"/>
  <c r="E3" i="6"/>
  <c r="O40" i="1"/>
  <c r="AA40" i="1" s="1"/>
  <c r="K40" i="1"/>
  <c r="J40" i="1"/>
  <c r="E40" i="1"/>
  <c r="O39" i="1"/>
  <c r="AC39" i="1" s="1"/>
  <c r="K39" i="1"/>
  <c r="J39" i="1"/>
  <c r="E39" i="1"/>
  <c r="O38" i="1"/>
  <c r="AE38" i="1" s="1"/>
  <c r="K38" i="1"/>
  <c r="J38" i="1"/>
  <c r="E38" i="1"/>
  <c r="O37" i="1"/>
  <c r="AI37" i="1" s="1"/>
  <c r="K37" i="1"/>
  <c r="J37" i="1"/>
  <c r="E37" i="1"/>
  <c r="O36" i="1"/>
  <c r="P36" i="1" s="1"/>
  <c r="K36" i="1"/>
  <c r="J36" i="1"/>
  <c r="E36" i="1"/>
  <c r="O35" i="1"/>
  <c r="R35" i="1" s="1"/>
  <c r="K35" i="1"/>
  <c r="J35" i="1"/>
  <c r="E35" i="1"/>
  <c r="O34" i="1"/>
  <c r="AI34" i="1" s="1"/>
  <c r="K34" i="1"/>
  <c r="J34" i="1"/>
  <c r="E34" i="1"/>
  <c r="O33" i="1"/>
  <c r="Y33" i="1" s="1"/>
  <c r="K33" i="1"/>
  <c r="J33" i="1"/>
  <c r="E33" i="1"/>
  <c r="O32" i="1"/>
  <c r="P32" i="1" s="1"/>
  <c r="K32" i="1"/>
  <c r="J32" i="1"/>
  <c r="E32" i="1"/>
  <c r="O31" i="1"/>
  <c r="R31" i="1" s="1"/>
  <c r="K31" i="1"/>
  <c r="J31" i="1"/>
  <c r="E31" i="1"/>
  <c r="O30" i="1"/>
  <c r="W30" i="1" s="1"/>
  <c r="K30" i="1"/>
  <c r="J30" i="1"/>
  <c r="E30" i="1"/>
  <c r="O29" i="1"/>
  <c r="Y29" i="1" s="1"/>
  <c r="K29" i="1"/>
  <c r="J29" i="1"/>
  <c r="E29" i="1"/>
  <c r="O28" i="1"/>
  <c r="AA28" i="1" s="1"/>
  <c r="K28" i="1"/>
  <c r="J28" i="1"/>
  <c r="E28" i="1"/>
  <c r="O27" i="1"/>
  <c r="AC27" i="1" s="1"/>
  <c r="K27" i="1"/>
  <c r="J27" i="1"/>
  <c r="E27" i="1"/>
  <c r="O26" i="1"/>
  <c r="AE26" i="1" s="1"/>
  <c r="K26" i="1"/>
  <c r="J26" i="1"/>
  <c r="E26" i="1"/>
  <c r="O25" i="1"/>
  <c r="AG25" i="1" s="1"/>
  <c r="K25" i="1"/>
  <c r="J25" i="1"/>
  <c r="E25" i="1"/>
  <c r="O24" i="1"/>
  <c r="AI24" i="1" s="1"/>
  <c r="K24" i="1"/>
  <c r="J24" i="1"/>
  <c r="E24" i="1"/>
  <c r="O23" i="1"/>
  <c r="AG23" i="1" s="1"/>
  <c r="K23" i="1"/>
  <c r="J23" i="1"/>
  <c r="E23" i="1"/>
  <c r="O22" i="1"/>
  <c r="W22" i="1" s="1"/>
  <c r="K22" i="1"/>
  <c r="J22" i="1"/>
  <c r="E22" i="1"/>
  <c r="O21" i="1"/>
  <c r="AE21" i="1" s="1"/>
  <c r="K21" i="1"/>
  <c r="J21" i="1"/>
  <c r="E21" i="1"/>
  <c r="O20" i="1"/>
  <c r="P20" i="1" s="1"/>
  <c r="K20" i="1"/>
  <c r="J20" i="1"/>
  <c r="E20" i="1"/>
  <c r="O19" i="1"/>
  <c r="R19" i="1" s="1"/>
  <c r="K19" i="1"/>
  <c r="J19" i="1"/>
  <c r="E19" i="1"/>
  <c r="O18" i="1"/>
  <c r="W18" i="1" s="1"/>
  <c r="K18" i="1"/>
  <c r="J18" i="1"/>
  <c r="E18" i="1"/>
  <c r="O17" i="1"/>
  <c r="Y17" i="1" s="1"/>
  <c r="K17" i="1"/>
  <c r="J17" i="1"/>
  <c r="E17" i="1"/>
  <c r="O16" i="1"/>
  <c r="AA16" i="1" s="1"/>
  <c r="K16" i="1"/>
  <c r="J16" i="1"/>
  <c r="E16" i="1"/>
  <c r="O15" i="1"/>
  <c r="AC15" i="1" s="1"/>
  <c r="K15" i="1"/>
  <c r="J15" i="1"/>
  <c r="E15" i="1"/>
  <c r="O14" i="1"/>
  <c r="AE14" i="1" s="1"/>
  <c r="K14" i="1"/>
  <c r="J14" i="1"/>
  <c r="E14" i="1"/>
  <c r="O13" i="1"/>
  <c r="AG13" i="1" s="1"/>
  <c r="K13" i="1"/>
  <c r="J13" i="1"/>
  <c r="E13" i="1"/>
  <c r="O12" i="1"/>
  <c r="AI12" i="1" s="1"/>
  <c r="K12" i="1"/>
  <c r="J12" i="1"/>
  <c r="E12" i="1"/>
  <c r="O11" i="1"/>
  <c r="AI11" i="1" s="1"/>
  <c r="K11" i="1"/>
  <c r="J11" i="1"/>
  <c r="E11" i="1"/>
  <c r="O10" i="1"/>
  <c r="AI10" i="1" s="1"/>
  <c r="K10" i="1"/>
  <c r="J10" i="1"/>
  <c r="E10" i="1"/>
  <c r="O9" i="1"/>
  <c r="AE9" i="1" s="1"/>
  <c r="K9" i="1"/>
  <c r="J9" i="1"/>
  <c r="E9" i="1"/>
  <c r="O8" i="1"/>
  <c r="P8" i="1" s="1"/>
  <c r="K8" i="1"/>
  <c r="J8" i="1"/>
  <c r="E8" i="1"/>
  <c r="O7" i="1"/>
  <c r="R7" i="1" s="1"/>
  <c r="K7" i="1"/>
  <c r="J7" i="1"/>
  <c r="E7" i="1"/>
  <c r="O6" i="1"/>
  <c r="W6" i="1" s="1"/>
  <c r="K6" i="1"/>
  <c r="J6" i="1"/>
  <c r="E6" i="1"/>
  <c r="O5" i="1"/>
  <c r="Y5" i="1" s="1"/>
  <c r="K5" i="1"/>
  <c r="J5" i="1"/>
  <c r="E5" i="1"/>
  <c r="O4" i="1"/>
  <c r="AA4" i="1" s="1"/>
  <c r="K4" i="1"/>
  <c r="J4" i="1"/>
  <c r="E4" i="1"/>
  <c r="O3" i="1"/>
  <c r="AC3" i="1" s="1"/>
  <c r="K3" i="1"/>
  <c r="J3" i="1"/>
  <c r="E3" i="1"/>
  <c r="AA7" i="15" l="1"/>
  <c r="R5" i="15"/>
  <c r="AE7" i="15"/>
  <c r="AA5" i="15"/>
  <c r="AA4" i="15"/>
  <c r="AG4" i="15"/>
  <c r="AG7" i="15"/>
  <c r="R3" i="15"/>
  <c r="R6" i="15"/>
  <c r="AE3" i="15"/>
  <c r="AE6" i="15"/>
  <c r="AE4" i="15"/>
  <c r="AA3" i="15"/>
  <c r="AA6" i="15"/>
  <c r="AG3" i="15"/>
  <c r="AG6" i="15"/>
  <c r="AE5" i="15"/>
  <c r="R4" i="15"/>
  <c r="R7" i="15"/>
  <c r="P3" i="14"/>
  <c r="W3" i="14"/>
  <c r="P5" i="14"/>
  <c r="AK4" i="13"/>
  <c r="AC4" i="13"/>
  <c r="AI4" i="13"/>
  <c r="AC3" i="11"/>
  <c r="AA3" i="11"/>
  <c r="P4" i="11"/>
  <c r="AE4" i="11"/>
  <c r="Y3" i="11"/>
  <c r="AG3" i="10"/>
  <c r="AA4" i="10"/>
  <c r="R5" i="10"/>
  <c r="W5" i="10"/>
  <c r="AA5" i="10"/>
  <c r="AE5" i="10"/>
  <c r="W4" i="10"/>
  <c r="AG5" i="10"/>
  <c r="R3" i="10"/>
  <c r="W3" i="10"/>
  <c r="AA3" i="10"/>
  <c r="AE3" i="10"/>
  <c r="AE4" i="7"/>
  <c r="AK4" i="7"/>
  <c r="AI3" i="7"/>
  <c r="AK3" i="7"/>
  <c r="W4" i="7"/>
  <c r="AG4" i="7"/>
  <c r="AI4" i="7"/>
  <c r="AE3" i="8"/>
  <c r="AC3" i="8"/>
  <c r="P4" i="8"/>
  <c r="W4" i="8"/>
  <c r="R3" i="8"/>
  <c r="AC4" i="8"/>
  <c r="Y3" i="8"/>
  <c r="AE4" i="8"/>
  <c r="AA4" i="8"/>
  <c r="AA3" i="8"/>
  <c r="AC5" i="8"/>
  <c r="AE5" i="8"/>
  <c r="AA4" i="6"/>
  <c r="Y4" i="6"/>
  <c r="AC5" i="6"/>
  <c r="AG4" i="6"/>
  <c r="Y3" i="6"/>
  <c r="AA6" i="6"/>
  <c r="AC3" i="6"/>
  <c r="AC6" i="6"/>
  <c r="Y6" i="6"/>
  <c r="AG3" i="6"/>
  <c r="AG6" i="6"/>
  <c r="AC4" i="6"/>
  <c r="AG7" i="6"/>
  <c r="AA3" i="6"/>
  <c r="AE4" i="1"/>
  <c r="P3" i="15"/>
  <c r="P4" i="15"/>
  <c r="P5" i="15"/>
  <c r="P6" i="15"/>
  <c r="P7" i="15"/>
  <c r="W3" i="15"/>
  <c r="W4" i="15"/>
  <c r="W5" i="15"/>
  <c r="W6" i="15"/>
  <c r="W7" i="15"/>
  <c r="Y3" i="15"/>
  <c r="Y4" i="15"/>
  <c r="Y5" i="15"/>
  <c r="Y6" i="15"/>
  <c r="Y7" i="15"/>
  <c r="R3" i="14"/>
  <c r="P4" i="14"/>
  <c r="R5" i="14"/>
  <c r="AA3" i="14"/>
  <c r="Y4" i="14"/>
  <c r="W5" i="14"/>
  <c r="W4" i="14"/>
  <c r="AC3" i="14"/>
  <c r="AA4" i="14"/>
  <c r="Y5" i="14"/>
  <c r="Y3" i="14"/>
  <c r="AE3" i="14"/>
  <c r="AC4" i="14"/>
  <c r="AA5" i="14"/>
  <c r="R4" i="14"/>
  <c r="AG3" i="14"/>
  <c r="AE4" i="14"/>
  <c r="AC5" i="14"/>
  <c r="AG4" i="14"/>
  <c r="AE5" i="14"/>
  <c r="AG5" i="14"/>
  <c r="P3" i="13"/>
  <c r="R3" i="13"/>
  <c r="W3" i="13"/>
  <c r="P4" i="13"/>
  <c r="Y3" i="13"/>
  <c r="R4" i="13"/>
  <c r="W4" i="13"/>
  <c r="AC3" i="13"/>
  <c r="Y4" i="13"/>
  <c r="AA3" i="13"/>
  <c r="AE3" i="13"/>
  <c r="AA4" i="13"/>
  <c r="AG3" i="13"/>
  <c r="AI3" i="13"/>
  <c r="AE4" i="13"/>
  <c r="AE3" i="11"/>
  <c r="P3" i="11"/>
  <c r="R4" i="11"/>
  <c r="R3" i="11"/>
  <c r="W4" i="11"/>
  <c r="P3" i="10"/>
  <c r="P4" i="10"/>
  <c r="P5" i="10"/>
  <c r="Y3" i="10"/>
  <c r="Y4" i="10"/>
  <c r="Y5" i="10"/>
  <c r="P3" i="7"/>
  <c r="R3" i="7"/>
  <c r="W3" i="7"/>
  <c r="P4" i="7"/>
  <c r="Y3" i="7"/>
  <c r="R4" i="7"/>
  <c r="AA3" i="7"/>
  <c r="AC3" i="7"/>
  <c r="AE3" i="7"/>
  <c r="AA4" i="7"/>
  <c r="Y4" i="7"/>
  <c r="AG3" i="9"/>
  <c r="AG4" i="9"/>
  <c r="AG5" i="9"/>
  <c r="P3" i="9"/>
  <c r="P4" i="9"/>
  <c r="P5" i="9"/>
  <c r="R3" i="9"/>
  <c r="R4" i="9"/>
  <c r="R5" i="9"/>
  <c r="W3" i="9"/>
  <c r="W4" i="9"/>
  <c r="W5" i="9"/>
  <c r="Y3" i="9"/>
  <c r="Y4" i="9"/>
  <c r="Y5" i="9"/>
  <c r="AA4" i="9"/>
  <c r="AC3" i="9"/>
  <c r="AC5" i="9"/>
  <c r="AA3" i="9"/>
  <c r="AA5" i="9"/>
  <c r="AC4" i="9"/>
  <c r="P5" i="8"/>
  <c r="R5" i="8"/>
  <c r="P3" i="8"/>
  <c r="R4" i="8"/>
  <c r="W5" i="8"/>
  <c r="Y5" i="8"/>
  <c r="P3" i="6"/>
  <c r="P4" i="6"/>
  <c r="P5" i="6"/>
  <c r="P6" i="6"/>
  <c r="P7" i="6"/>
  <c r="R3" i="6"/>
  <c r="R4" i="6"/>
  <c r="R5" i="6"/>
  <c r="R6" i="6"/>
  <c r="R7" i="6"/>
  <c r="W3" i="6"/>
  <c r="W4" i="6"/>
  <c r="W5" i="6"/>
  <c r="W6" i="6"/>
  <c r="W7" i="6"/>
  <c r="AA7" i="6"/>
  <c r="AI17" i="1"/>
  <c r="P33" i="1"/>
  <c r="R4" i="1"/>
  <c r="R33" i="1"/>
  <c r="AC33" i="1"/>
  <c r="AI32" i="1"/>
  <c r="AI5" i="1"/>
  <c r="Y16" i="1"/>
  <c r="AI40" i="1"/>
  <c r="P16" i="1"/>
  <c r="R16" i="1"/>
  <c r="AC5" i="1"/>
  <c r="W16" i="1"/>
  <c r="AG16" i="1"/>
  <c r="R17" i="1"/>
  <c r="AI25" i="1"/>
  <c r="W4" i="1"/>
  <c r="AG4" i="1"/>
  <c r="AC18" i="1"/>
  <c r="AE33" i="1"/>
  <c r="AE18" i="1"/>
  <c r="AA32" i="1"/>
  <c r="AG33" i="1"/>
  <c r="AI4" i="1"/>
  <c r="Y21" i="1"/>
  <c r="AC32" i="1"/>
  <c r="AI33" i="1"/>
  <c r="P17" i="1"/>
  <c r="AG21" i="1"/>
  <c r="AE32" i="1"/>
  <c r="AG7" i="1"/>
  <c r="AA17" i="1"/>
  <c r="AA5" i="1"/>
  <c r="AC17" i="1"/>
  <c r="AA18" i="1"/>
  <c r="R21" i="1"/>
  <c r="R20" i="1"/>
  <c r="AI26" i="1"/>
  <c r="AA31" i="1"/>
  <c r="AE39" i="1"/>
  <c r="W20" i="1"/>
  <c r="AC31" i="1"/>
  <c r="AG39" i="1"/>
  <c r="AG18" i="1"/>
  <c r="AI21" i="1"/>
  <c r="AC6" i="1"/>
  <c r="W8" i="1"/>
  <c r="AE6" i="1"/>
  <c r="AC16" i="1"/>
  <c r="AE17" i="1"/>
  <c r="Y20" i="1"/>
  <c r="AE31" i="1"/>
  <c r="AI39" i="1"/>
  <c r="R5" i="1"/>
  <c r="AG6" i="1"/>
  <c r="AE16" i="1"/>
  <c r="AG17" i="1"/>
  <c r="AA20" i="1"/>
  <c r="AG31" i="1"/>
  <c r="Y31" i="1"/>
  <c r="AI20" i="1"/>
  <c r="AI16" i="1"/>
  <c r="W19" i="1"/>
  <c r="P22" i="1"/>
  <c r="Y30" i="1"/>
  <c r="Y4" i="1"/>
  <c r="AE5" i="1"/>
  <c r="AE19" i="1"/>
  <c r="R22" i="1"/>
  <c r="AA30" i="1"/>
  <c r="W33" i="1"/>
  <c r="AC4" i="1"/>
  <c r="AG5" i="1"/>
  <c r="AG19" i="1"/>
  <c r="AA33" i="1"/>
  <c r="AG40" i="1"/>
  <c r="P29" i="1"/>
  <c r="AE3" i="1"/>
  <c r="P9" i="1"/>
  <c r="P10" i="1"/>
  <c r="W15" i="1"/>
  <c r="R28" i="1"/>
  <c r="R29" i="1"/>
  <c r="AC30" i="1"/>
  <c r="AG38" i="1"/>
  <c r="AG3" i="1"/>
  <c r="R8" i="1"/>
  <c r="R9" i="1"/>
  <c r="AI13" i="1"/>
  <c r="AE15" i="1"/>
  <c r="P21" i="1"/>
  <c r="W28" i="1"/>
  <c r="AA29" i="1"/>
  <c r="AE30" i="1"/>
  <c r="AI38" i="1"/>
  <c r="AI3" i="1"/>
  <c r="AG30" i="1"/>
  <c r="AG15" i="1"/>
  <c r="AC29" i="1"/>
  <c r="W7" i="1"/>
  <c r="Y8" i="1"/>
  <c r="Y9" i="1"/>
  <c r="AI15" i="1"/>
  <c r="W21" i="1"/>
  <c r="W27" i="1"/>
  <c r="AC28" i="1"/>
  <c r="AE29" i="1"/>
  <c r="P40" i="1"/>
  <c r="P28" i="1"/>
  <c r="AA8" i="1"/>
  <c r="Y19" i="1"/>
  <c r="W3" i="1"/>
  <c r="Y28" i="1"/>
  <c r="AE28" i="1"/>
  <c r="AC8" i="1"/>
  <c r="AG28" i="1"/>
  <c r="W40" i="1"/>
  <c r="Y6" i="1"/>
  <c r="AC7" i="1"/>
  <c r="AE8" i="1"/>
  <c r="AG9" i="1"/>
  <c r="AG14" i="1"/>
  <c r="AA19" i="1"/>
  <c r="AC20" i="1"/>
  <c r="AC21" i="1"/>
  <c r="AI27" i="1"/>
  <c r="AI28" i="1"/>
  <c r="W32" i="1"/>
  <c r="R34" i="1"/>
  <c r="W39" i="1"/>
  <c r="AC40" i="1"/>
  <c r="W9" i="1"/>
  <c r="Y7" i="1"/>
  <c r="AA9" i="1"/>
  <c r="AE27" i="1"/>
  <c r="AG29" i="1"/>
  <c r="R40" i="1"/>
  <c r="AA7" i="1"/>
  <c r="AC9" i="1"/>
  <c r="AA21" i="1"/>
  <c r="AG27" i="1"/>
  <c r="AI29" i="1"/>
  <c r="R32" i="1"/>
  <c r="P34" i="1"/>
  <c r="P4" i="1"/>
  <c r="P5" i="1"/>
  <c r="AA6" i="1"/>
  <c r="AE7" i="1"/>
  <c r="AI8" i="1"/>
  <c r="AI9" i="1"/>
  <c r="AI14" i="1"/>
  <c r="Y18" i="1"/>
  <c r="AC19" i="1"/>
  <c r="AE20" i="1"/>
  <c r="W31" i="1"/>
  <c r="Y32" i="1"/>
  <c r="W34" i="1"/>
  <c r="Y39" i="1"/>
  <c r="AE40" i="1"/>
  <c r="AG26" i="1"/>
  <c r="P11" i="1"/>
  <c r="R11" i="1"/>
  <c r="R23" i="1"/>
  <c r="W11" i="1"/>
  <c r="P13" i="1"/>
  <c r="Y22" i="1"/>
  <c r="R24" i="1"/>
  <c r="Y11" i="1"/>
  <c r="W12" i="1"/>
  <c r="R13" i="1"/>
  <c r="AI18" i="1"/>
  <c r="Y23" i="1"/>
  <c r="W24" i="1"/>
  <c r="R25" i="1"/>
  <c r="P26" i="1"/>
  <c r="AI30" i="1"/>
  <c r="AA34" i="1"/>
  <c r="Y35" i="1"/>
  <c r="W36" i="1"/>
  <c r="R37" i="1"/>
  <c r="P38" i="1"/>
  <c r="P3" i="1"/>
  <c r="AI7" i="1"/>
  <c r="AG8" i="1"/>
  <c r="AC10" i="1"/>
  <c r="AA11" i="1"/>
  <c r="Y12" i="1"/>
  <c r="W13" i="1"/>
  <c r="R14" i="1"/>
  <c r="P15" i="1"/>
  <c r="AI19" i="1"/>
  <c r="AG20" i="1"/>
  <c r="AC22" i="1"/>
  <c r="AA23" i="1"/>
  <c r="Y24" i="1"/>
  <c r="W25" i="1"/>
  <c r="R26" i="1"/>
  <c r="P27" i="1"/>
  <c r="AI31" i="1"/>
  <c r="AG32" i="1"/>
  <c r="AC34" i="1"/>
  <c r="AA35" i="1"/>
  <c r="Y36" i="1"/>
  <c r="W37" i="1"/>
  <c r="R38" i="1"/>
  <c r="P39" i="1"/>
  <c r="P25" i="1"/>
  <c r="Y34" i="1"/>
  <c r="W35" i="1"/>
  <c r="R36" i="1"/>
  <c r="P37" i="1"/>
  <c r="AI6" i="1"/>
  <c r="AA10" i="1"/>
  <c r="P14" i="1"/>
  <c r="AA22" i="1"/>
  <c r="R3" i="1"/>
  <c r="AE10" i="1"/>
  <c r="AC11" i="1"/>
  <c r="AA12" i="1"/>
  <c r="Y13" i="1"/>
  <c r="W14" i="1"/>
  <c r="R15" i="1"/>
  <c r="AE22" i="1"/>
  <c r="AC23" i="1"/>
  <c r="AA24" i="1"/>
  <c r="Y25" i="1"/>
  <c r="W26" i="1"/>
  <c r="R27" i="1"/>
  <c r="AE34" i="1"/>
  <c r="AC35" i="1"/>
  <c r="AA36" i="1"/>
  <c r="Y37" i="1"/>
  <c r="W38" i="1"/>
  <c r="R39" i="1"/>
  <c r="P12" i="1"/>
  <c r="R12" i="1"/>
  <c r="W23" i="1"/>
  <c r="Y14" i="1"/>
  <c r="AC24" i="1"/>
  <c r="R10" i="1"/>
  <c r="P23" i="1"/>
  <c r="W10" i="1"/>
  <c r="AE11" i="1"/>
  <c r="AC12" i="1"/>
  <c r="AE23" i="1"/>
  <c r="Y26" i="1"/>
  <c r="Y3" i="1"/>
  <c r="AG11" i="1"/>
  <c r="AE12" i="1"/>
  <c r="AA14" i="1"/>
  <c r="P18" i="1"/>
  <c r="AI22" i="1"/>
  <c r="AC25" i="1"/>
  <c r="AA3" i="1"/>
  <c r="W5" i="1"/>
  <c r="P7" i="1"/>
  <c r="AG12" i="1"/>
  <c r="AE13" i="1"/>
  <c r="AC14" i="1"/>
  <c r="AA15" i="1"/>
  <c r="W17" i="1"/>
  <c r="R18" i="1"/>
  <c r="P19" i="1"/>
  <c r="AI23" i="1"/>
  <c r="AG24" i="1"/>
  <c r="AE25" i="1"/>
  <c r="AC26" i="1"/>
  <c r="AA27" i="1"/>
  <c r="W29" i="1"/>
  <c r="R30" i="1"/>
  <c r="P31" i="1"/>
  <c r="AI35" i="1"/>
  <c r="AG36" i="1"/>
  <c r="AE37" i="1"/>
  <c r="AC38" i="1"/>
  <c r="AA39" i="1"/>
  <c r="Y40" i="1"/>
  <c r="P24" i="1"/>
  <c r="Y10" i="1"/>
  <c r="AG10" i="1"/>
  <c r="AA13" i="1"/>
  <c r="AG22" i="1"/>
  <c r="AA25" i="1"/>
  <c r="AG34" i="1"/>
  <c r="AE35" i="1"/>
  <c r="AC36" i="1"/>
  <c r="AA37" i="1"/>
  <c r="Y38" i="1"/>
  <c r="P6" i="1"/>
  <c r="AC13" i="1"/>
  <c r="Y15" i="1"/>
  <c r="AE24" i="1"/>
  <c r="AA26" i="1"/>
  <c r="Y27" i="1"/>
  <c r="P30" i="1"/>
  <c r="AG35" i="1"/>
  <c r="AE36" i="1"/>
  <c r="AC37" i="1"/>
  <c r="AA38" i="1"/>
  <c r="R6" i="1"/>
  <c r="AI36" i="1"/>
  <c r="AG37" i="1"/>
  <c r="P35" i="1"/>
  <c r="AI8" i="15" l="1"/>
  <c r="AH8" i="15"/>
  <c r="AF8" i="15"/>
  <c r="AD8" i="15"/>
  <c r="AB8" i="15"/>
  <c r="Z8" i="15"/>
  <c r="X8" i="15"/>
  <c r="V8" i="15"/>
  <c r="U8" i="15"/>
  <c r="T8" i="15"/>
  <c r="S8" i="15"/>
  <c r="Q8" i="15"/>
  <c r="N8" i="15"/>
  <c r="M8" i="15"/>
  <c r="L8" i="15"/>
  <c r="I8" i="15"/>
  <c r="H8" i="15"/>
  <c r="G8" i="15"/>
  <c r="F8" i="15"/>
  <c r="D8" i="15"/>
  <c r="O2" i="15"/>
  <c r="Y2" i="15" s="1"/>
  <c r="K2" i="15"/>
  <c r="J2" i="15"/>
  <c r="E2" i="15"/>
  <c r="AK6" i="14"/>
  <c r="AJ6" i="14"/>
  <c r="AH6" i="14"/>
  <c r="AF6" i="14"/>
  <c r="AD6" i="14"/>
  <c r="AB6" i="14"/>
  <c r="Z6" i="14"/>
  <c r="X6" i="14"/>
  <c r="V6" i="14"/>
  <c r="U6" i="14"/>
  <c r="T6" i="14"/>
  <c r="S6" i="14"/>
  <c r="Q6" i="14"/>
  <c r="N6" i="14"/>
  <c r="M6" i="14"/>
  <c r="L6" i="14"/>
  <c r="I6" i="14"/>
  <c r="H6" i="14"/>
  <c r="G6" i="14"/>
  <c r="F6" i="14"/>
  <c r="D6" i="14"/>
  <c r="O2" i="14"/>
  <c r="AG2" i="14" s="1"/>
  <c r="K2" i="14"/>
  <c r="J2" i="14"/>
  <c r="E2" i="14"/>
  <c r="AM5" i="13"/>
  <c r="AL5" i="13"/>
  <c r="AJ5" i="13"/>
  <c r="AH5" i="13"/>
  <c r="AF5" i="13"/>
  <c r="AD5" i="13"/>
  <c r="AB5" i="13"/>
  <c r="Z5" i="13"/>
  <c r="X5" i="13"/>
  <c r="V5" i="13"/>
  <c r="U5" i="13"/>
  <c r="T5" i="13"/>
  <c r="S5" i="13"/>
  <c r="Q5" i="13"/>
  <c r="N5" i="13"/>
  <c r="M5" i="13"/>
  <c r="L5" i="13"/>
  <c r="I5" i="13"/>
  <c r="H5" i="13"/>
  <c r="I6" i="13" s="1"/>
  <c r="G5" i="13"/>
  <c r="F5" i="13"/>
  <c r="D5" i="13"/>
  <c r="B5" i="13"/>
  <c r="O2" i="13"/>
  <c r="AG2" i="13" s="1"/>
  <c r="K2" i="13"/>
  <c r="J2" i="13"/>
  <c r="E2" i="13"/>
  <c r="U41" i="1"/>
  <c r="T41" i="1"/>
  <c r="Q41" i="1"/>
  <c r="N41" i="1"/>
  <c r="M41" i="1"/>
  <c r="L41" i="1"/>
  <c r="G41" i="1"/>
  <c r="F41" i="1"/>
  <c r="U8" i="6"/>
  <c r="T8" i="6"/>
  <c r="Q8" i="6"/>
  <c r="N8" i="6"/>
  <c r="M8" i="6"/>
  <c r="L8" i="6"/>
  <c r="G8" i="6"/>
  <c r="F8" i="6"/>
  <c r="U6" i="8"/>
  <c r="T6" i="8"/>
  <c r="Q6" i="8"/>
  <c r="N6" i="8"/>
  <c r="M6" i="8"/>
  <c r="L6" i="8"/>
  <c r="G6" i="8"/>
  <c r="F6" i="8"/>
  <c r="U6" i="9"/>
  <c r="T6" i="9"/>
  <c r="Q6" i="9"/>
  <c r="N6" i="9"/>
  <c r="M6" i="9"/>
  <c r="L6" i="9"/>
  <c r="G6" i="9"/>
  <c r="F6" i="9"/>
  <c r="U5" i="7"/>
  <c r="T5" i="7"/>
  <c r="Q5" i="7"/>
  <c r="N5" i="7"/>
  <c r="M5" i="7"/>
  <c r="L5" i="7"/>
  <c r="G5" i="7"/>
  <c r="F5" i="7"/>
  <c r="U6" i="10"/>
  <c r="T6" i="10"/>
  <c r="Q6" i="10"/>
  <c r="N6" i="10"/>
  <c r="M6" i="10"/>
  <c r="L6" i="10"/>
  <c r="G6" i="10"/>
  <c r="F6" i="10"/>
  <c r="U5" i="11"/>
  <c r="T5" i="11"/>
  <c r="Q5" i="11"/>
  <c r="N5" i="11"/>
  <c r="M5" i="11"/>
  <c r="L5" i="11"/>
  <c r="G5" i="11"/>
  <c r="F5" i="11"/>
  <c r="U4" i="12"/>
  <c r="T4" i="12"/>
  <c r="Q4" i="12"/>
  <c r="N4" i="12"/>
  <c r="M4" i="12"/>
  <c r="L4" i="12"/>
  <c r="G4" i="12"/>
  <c r="F4" i="12"/>
  <c r="B8" i="15" l="1"/>
  <c r="I9" i="15"/>
  <c r="R2" i="15"/>
  <c r="O8" i="15"/>
  <c r="AD9" i="15" s="1"/>
  <c r="P2" i="15"/>
  <c r="W2" i="15"/>
  <c r="AA2" i="15"/>
  <c r="AE2" i="15"/>
  <c r="AG2" i="15"/>
  <c r="AC2" i="15"/>
  <c r="AI2" i="14"/>
  <c r="B6" i="14"/>
  <c r="I7" i="14"/>
  <c r="P2" i="14"/>
  <c r="O6" i="14"/>
  <c r="V7" i="14" s="1"/>
  <c r="R2" i="14"/>
  <c r="W2" i="14"/>
  <c r="Y2" i="14"/>
  <c r="AA2" i="14"/>
  <c r="AC2" i="14"/>
  <c r="AE2" i="14"/>
  <c r="AI2" i="13"/>
  <c r="AK2" i="13"/>
  <c r="P2" i="13"/>
  <c r="R2" i="13"/>
  <c r="W2" i="13"/>
  <c r="O5" i="13"/>
  <c r="V6" i="13" s="1"/>
  <c r="Y2" i="13"/>
  <c r="AA2" i="13"/>
  <c r="AC2" i="13"/>
  <c r="AE2" i="13"/>
  <c r="AK4" i="12"/>
  <c r="AJ4" i="12"/>
  <c r="AH4" i="12"/>
  <c r="AF4" i="12"/>
  <c r="AD4" i="12"/>
  <c r="AB4" i="12"/>
  <c r="Z4" i="12"/>
  <c r="X4" i="12"/>
  <c r="V4" i="12"/>
  <c r="S4" i="12"/>
  <c r="I4" i="12"/>
  <c r="H4" i="12"/>
  <c r="D4" i="12"/>
  <c r="B4" i="12"/>
  <c r="O3" i="12"/>
  <c r="K3" i="12"/>
  <c r="J3" i="12"/>
  <c r="E3" i="12"/>
  <c r="O2" i="12"/>
  <c r="R2" i="12" s="1"/>
  <c r="K2" i="12"/>
  <c r="J2" i="12"/>
  <c r="E2" i="12"/>
  <c r="E2" i="11"/>
  <c r="AG5" i="11"/>
  <c r="AF5" i="11"/>
  <c r="AD5" i="11"/>
  <c r="AB5" i="11"/>
  <c r="Z5" i="11"/>
  <c r="X5" i="11"/>
  <c r="V5" i="11"/>
  <c r="S5" i="11"/>
  <c r="I5" i="11"/>
  <c r="H5" i="11"/>
  <c r="D5" i="11"/>
  <c r="B5" i="11"/>
  <c r="O2" i="11"/>
  <c r="K2" i="11"/>
  <c r="J2" i="11"/>
  <c r="AF9" i="15" l="1"/>
  <c r="Z9" i="15"/>
  <c r="X9" i="15"/>
  <c r="V9" i="15"/>
  <c r="AB9" i="15"/>
  <c r="AF7" i="14"/>
  <c r="AB7" i="14"/>
  <c r="X7" i="14"/>
  <c r="AH7" i="14"/>
  <c r="AD7" i="14"/>
  <c r="Z7" i="14"/>
  <c r="AB6" i="13"/>
  <c r="X6" i="13"/>
  <c r="AJ6" i="13"/>
  <c r="AH6" i="13"/>
  <c r="AF6" i="13"/>
  <c r="AD6" i="13"/>
  <c r="Z6" i="13"/>
  <c r="I5" i="12"/>
  <c r="W2" i="12"/>
  <c r="Y2" i="12"/>
  <c r="AA2" i="12"/>
  <c r="AE2" i="12"/>
  <c r="W3" i="12"/>
  <c r="O4" i="12"/>
  <c r="X5" i="12" s="1"/>
  <c r="P3" i="12"/>
  <c r="R3" i="12"/>
  <c r="AC2" i="12"/>
  <c r="AG2" i="12"/>
  <c r="Y3" i="12"/>
  <c r="AI2" i="12"/>
  <c r="AA3" i="12"/>
  <c r="AC3" i="12"/>
  <c r="AE3" i="12"/>
  <c r="AG3" i="12"/>
  <c r="P2" i="12"/>
  <c r="AI3" i="12"/>
  <c r="I6" i="11"/>
  <c r="R2" i="11"/>
  <c r="W2" i="11"/>
  <c r="Y2" i="11"/>
  <c r="P2" i="11"/>
  <c r="AA2" i="11"/>
  <c r="AC2" i="11"/>
  <c r="AE2" i="11"/>
  <c r="O5" i="11"/>
  <c r="AD6" i="11" s="1"/>
  <c r="AI6" i="9"/>
  <c r="AH6" i="9"/>
  <c r="AH6" i="10"/>
  <c r="AF6" i="10"/>
  <c r="AD6" i="10"/>
  <c r="AB6" i="10"/>
  <c r="Z6" i="10"/>
  <c r="X6" i="10"/>
  <c r="V6" i="10"/>
  <c r="S6" i="10"/>
  <c r="I6" i="10"/>
  <c r="H6" i="10"/>
  <c r="D6" i="10"/>
  <c r="O2" i="10"/>
  <c r="W2" i="10" s="1"/>
  <c r="K2" i="10"/>
  <c r="J2" i="10"/>
  <c r="E2" i="10"/>
  <c r="O2" i="9"/>
  <c r="AG2" i="9" s="1"/>
  <c r="K2" i="9"/>
  <c r="J2" i="9"/>
  <c r="E2" i="9"/>
  <c r="AF6" i="9"/>
  <c r="AD6" i="9"/>
  <c r="AB6" i="9"/>
  <c r="Z6" i="9"/>
  <c r="X6" i="9"/>
  <c r="V6" i="9"/>
  <c r="S6" i="9"/>
  <c r="I6" i="9"/>
  <c r="H6" i="9"/>
  <c r="D6" i="9"/>
  <c r="AF6" i="8"/>
  <c r="AD6" i="8"/>
  <c r="AB6" i="8"/>
  <c r="Z6" i="8"/>
  <c r="X6" i="8"/>
  <c r="V6" i="8"/>
  <c r="S6" i="8"/>
  <c r="I6" i="8"/>
  <c r="H6" i="8"/>
  <c r="D6" i="8"/>
  <c r="O2" i="8"/>
  <c r="W2" i="8" s="1"/>
  <c r="K2" i="8"/>
  <c r="J2" i="8"/>
  <c r="E2" i="8"/>
  <c r="V5" i="12" l="1"/>
  <c r="AB5" i="12"/>
  <c r="AD5" i="12"/>
  <c r="Z5" i="12"/>
  <c r="AH5" i="12"/>
  <c r="AF5" i="12"/>
  <c r="AB6" i="11"/>
  <c r="Z6" i="11"/>
  <c r="V6" i="11"/>
  <c r="X6" i="11"/>
  <c r="AG2" i="10"/>
  <c r="AE2" i="10"/>
  <c r="Y2" i="10"/>
  <c r="B6" i="10"/>
  <c r="AA2" i="10"/>
  <c r="AC2" i="10"/>
  <c r="I7" i="10"/>
  <c r="O6" i="10"/>
  <c r="AD7" i="10" s="1"/>
  <c r="R2" i="10"/>
  <c r="P2" i="10"/>
  <c r="B6" i="8"/>
  <c r="P2" i="9"/>
  <c r="W2" i="9"/>
  <c r="Y2" i="9"/>
  <c r="R2" i="9"/>
  <c r="AA2" i="9"/>
  <c r="AC2" i="9"/>
  <c r="AE2" i="9"/>
  <c r="B6" i="9"/>
  <c r="I7" i="9"/>
  <c r="O6" i="9"/>
  <c r="AD7" i="9" s="1"/>
  <c r="I7" i="8"/>
  <c r="P2" i="8"/>
  <c r="R2" i="8"/>
  <c r="Y2" i="8"/>
  <c r="AA2" i="8"/>
  <c r="AC2" i="8"/>
  <c r="AE2" i="8"/>
  <c r="O6" i="8"/>
  <c r="X7" i="8" s="1"/>
  <c r="AF5" i="7"/>
  <c r="AD5" i="7"/>
  <c r="E2" i="7"/>
  <c r="E2" i="6"/>
  <c r="E2" i="1"/>
  <c r="O2" i="7"/>
  <c r="R2" i="7" s="1"/>
  <c r="K2" i="7"/>
  <c r="J2" i="7"/>
  <c r="AL5" i="7"/>
  <c r="AJ5" i="7"/>
  <c r="AH5" i="7"/>
  <c r="AB5" i="7"/>
  <c r="Z5" i="7"/>
  <c r="X5" i="7"/>
  <c r="V5" i="7"/>
  <c r="S5" i="7"/>
  <c r="I5" i="7"/>
  <c r="H5" i="7"/>
  <c r="D5" i="7"/>
  <c r="B5" i="7"/>
  <c r="AI8" i="6"/>
  <c r="AH8" i="6"/>
  <c r="AF8" i="6"/>
  <c r="AD8" i="6"/>
  <c r="AB8" i="6"/>
  <c r="Z8" i="6"/>
  <c r="X8" i="6"/>
  <c r="V8" i="6"/>
  <c r="S8" i="6"/>
  <c r="I8" i="6"/>
  <c r="H8" i="6"/>
  <c r="D8" i="6"/>
  <c r="B8" i="6"/>
  <c r="O2" i="6"/>
  <c r="P2" i="6" s="1"/>
  <c r="K2" i="6"/>
  <c r="J2" i="6"/>
  <c r="V79" i="1" l="1"/>
  <c r="V43" i="7"/>
  <c r="V44" i="9"/>
  <c r="V44" i="8"/>
  <c r="V42" i="12"/>
  <c r="V46" i="6"/>
  <c r="V43" i="13"/>
  <c r="V46" i="15"/>
  <c r="V43" i="11"/>
  <c r="V44" i="14"/>
  <c r="V44" i="10"/>
  <c r="O5" i="7"/>
  <c r="X6" i="7" s="1"/>
  <c r="AG6" i="8"/>
  <c r="V7" i="10"/>
  <c r="AI6" i="10"/>
  <c r="AB7" i="10"/>
  <c r="AF7" i="10"/>
  <c r="Z7" i="10"/>
  <c r="X7" i="10"/>
  <c r="Z7" i="9"/>
  <c r="X7" i="9"/>
  <c r="AF7" i="9"/>
  <c r="V7" i="9"/>
  <c r="AB7" i="9"/>
  <c r="AB7" i="8"/>
  <c r="Z7" i="8"/>
  <c r="V7" i="8"/>
  <c r="AD7" i="8"/>
  <c r="AE2" i="7"/>
  <c r="AG2" i="7"/>
  <c r="W2" i="7"/>
  <c r="Y2" i="7"/>
  <c r="AA2" i="7"/>
  <c r="AC2" i="7"/>
  <c r="AI2" i="7"/>
  <c r="AK2" i="7"/>
  <c r="I6" i="7"/>
  <c r="P2" i="7"/>
  <c r="I9" i="6"/>
  <c r="O8" i="6"/>
  <c r="AF9" i="6" s="1"/>
  <c r="W2" i="6"/>
  <c r="Y2" i="6"/>
  <c r="R2" i="6"/>
  <c r="AA2" i="6"/>
  <c r="AC2" i="6"/>
  <c r="AE2" i="6"/>
  <c r="AG2" i="6"/>
  <c r="Z6" i="7" l="1"/>
  <c r="AF6" i="7"/>
  <c r="AB6" i="7"/>
  <c r="AH6" i="7"/>
  <c r="AD6" i="7"/>
  <c r="AJ6" i="7"/>
  <c r="V6" i="7"/>
  <c r="AM5" i="7"/>
  <c r="Z9" i="6"/>
  <c r="AD9" i="6"/>
  <c r="AB9" i="6"/>
  <c r="X9" i="6"/>
  <c r="V9" i="6"/>
  <c r="AN2" i="1" l="1"/>
  <c r="AN3" i="1"/>
  <c r="AN4" i="1"/>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M2" i="1"/>
  <c r="AM3" i="1"/>
  <c r="AM4" i="1"/>
  <c r="AM5" i="1"/>
  <c r="AM6" i="1"/>
  <c r="AM7" i="1"/>
  <c r="AM8"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O30" i="1" l="1"/>
  <c r="AO31" i="1"/>
  <c r="AO19" i="1"/>
  <c r="AO18" i="1"/>
  <c r="AO6" i="1"/>
  <c r="AO38" i="1"/>
  <c r="AO26" i="1"/>
  <c r="AO14" i="1"/>
  <c r="AO7" i="1"/>
  <c r="AO37" i="1"/>
  <c r="AO25" i="1"/>
  <c r="AO13" i="1"/>
  <c r="AO24" i="1"/>
  <c r="AO12" i="1"/>
  <c r="AO36" i="1"/>
  <c r="AO35" i="1"/>
  <c r="AO23" i="1"/>
  <c r="AO11" i="1"/>
  <c r="AO34" i="1"/>
  <c r="AO22" i="1"/>
  <c r="AO10" i="1"/>
  <c r="AO33" i="1"/>
  <c r="AO21" i="1"/>
  <c r="AO9" i="1"/>
  <c r="AO32" i="1"/>
  <c r="AO20" i="1"/>
  <c r="AO8" i="1"/>
  <c r="AO29" i="1"/>
  <c r="AO17" i="1"/>
  <c r="AO5" i="1"/>
  <c r="AO40" i="1"/>
  <c r="AO28" i="1"/>
  <c r="AO16" i="1"/>
  <c r="AO4" i="1"/>
  <c r="AO39" i="1"/>
  <c r="AO27" i="1"/>
  <c r="AO15" i="1"/>
  <c r="AO3" i="1"/>
  <c r="AJ41" i="1" l="1"/>
  <c r="D41" i="1"/>
  <c r="H41" i="1"/>
  <c r="I41" i="1"/>
  <c r="S41" i="1"/>
  <c r="V41" i="1"/>
  <c r="Z41" i="1"/>
  <c r="AB41" i="1"/>
  <c r="AD41" i="1"/>
  <c r="AH41" i="1"/>
  <c r="AK41" i="1"/>
  <c r="V48" i="1" l="1"/>
  <c r="Z50" i="1" s="1"/>
  <c r="AF53" i="1" s="1"/>
  <c r="AF55" i="1" s="1"/>
  <c r="X43" i="1"/>
  <c r="AF57" i="1" l="1"/>
  <c r="AF59" i="1" s="1"/>
  <c r="AF63" i="1" s="1"/>
  <c r="Z53" i="1"/>
  <c r="Z55" i="1" s="1"/>
  <c r="X53" i="1"/>
  <c r="X55" i="1" s="1"/>
  <c r="AB53" i="1"/>
  <c r="AB55" i="1" s="1"/>
  <c r="V53" i="1"/>
  <c r="V55" i="1" s="1"/>
  <c r="V57" i="1" s="1"/>
  <c r="AM41" i="1"/>
  <c r="AM42" i="1" s="1"/>
  <c r="Z57" i="1" l="1"/>
  <c r="Z59" i="1" s="1"/>
  <c r="Z63" i="1" s="1"/>
  <c r="AB57" i="1"/>
  <c r="AB59" i="1" s="1"/>
  <c r="AB63" i="1" s="1"/>
  <c r="X57" i="1"/>
  <c r="X59" i="1" s="1"/>
  <c r="X63" i="1" s="1"/>
  <c r="V59" i="1"/>
  <c r="AJ55" i="1"/>
  <c r="AN41" i="1"/>
  <c r="AN42" i="1" s="1"/>
  <c r="AJ59" i="1" l="1"/>
  <c r="V63" i="1"/>
  <c r="AJ63" i="1" s="1"/>
  <c r="AO2" i="1"/>
  <c r="AO41" i="1" s="1"/>
  <c r="AO42" i="1" s="1"/>
  <c r="K2" i="1" l="1"/>
  <c r="J2" i="1"/>
  <c r="B41" i="1" l="1"/>
  <c r="O2" i="1" l="1"/>
  <c r="O41" i="1" s="1"/>
  <c r="AC2" i="1" l="1"/>
  <c r="AA2" i="1"/>
  <c r="P2" i="1"/>
  <c r="R2" i="1"/>
  <c r="AG2" i="1"/>
  <c r="AI2" i="1"/>
  <c r="AE2" i="1"/>
  <c r="W2" i="1"/>
  <c r="Y2" i="1"/>
  <c r="I42" i="1"/>
  <c r="V42" i="1" l="1"/>
  <c r="AH42" i="1"/>
  <c r="AF42" i="1"/>
  <c r="AD42" i="1"/>
  <c r="Z42" i="1"/>
  <c r="AB42" i="1"/>
  <c r="X42" i="1"/>
</calcChain>
</file>

<file path=xl/sharedStrings.xml><?xml version="1.0" encoding="utf-8"?>
<sst xmlns="http://schemas.openxmlformats.org/spreadsheetml/2006/main" count="642" uniqueCount="215">
  <si>
    <t>Число избирателей, внесенных в список избирателей на момент окончания голосования</t>
  </si>
  <si>
    <t>Число избирательных бюллетеней, выданных в помещении для голосования в день голосования</t>
  </si>
  <si>
    <t>Явка</t>
  </si>
  <si>
    <t>Надомка</t>
  </si>
  <si>
    <t>Обнаружено</t>
  </si>
  <si>
    <t>ЛДПР</t>
  </si>
  <si>
    <t>Новые люди</t>
  </si>
  <si>
    <t>Единая Россия</t>
  </si>
  <si>
    <t>6. Партия СПРАВЕДЛИВАЯ РОССИЯ – ЗА ПРАВДУ</t>
  </si>
  <si>
    <t>СР</t>
  </si>
  <si>
    <t>Родина</t>
  </si>
  <si>
    <t>Пенсионеров</t>
  </si>
  <si>
    <t>Явка:</t>
  </si>
  <si>
    <t>Число бюллетеней, полученных участковой избирательной комиссией</t>
  </si>
  <si>
    <t>Число погашенных бюллетеней</t>
  </si>
  <si>
    <t>Число бюллетеней, содержащихся в переносных ящиках для голосования</t>
  </si>
  <si>
    <t>Число бюллетеней, содержащихся в стационарных ящиках для голосования</t>
  </si>
  <si>
    <t>Число недействительных бюллетеней</t>
  </si>
  <si>
    <t>Число действительных бюллетеней</t>
  </si>
  <si>
    <t>Число утраченных бюллетеней</t>
  </si>
  <si>
    <t>Число бюллетеней, не учтенных при получении</t>
  </si>
  <si>
    <t>Надомка от списка</t>
  </si>
  <si>
    <t>Недействительных</t>
  </si>
  <si>
    <t>Наблюдателей</t>
  </si>
  <si>
    <t>УИК</t>
  </si>
  <si>
    <t>Местоположение</t>
  </si>
  <si>
    <t>Вес участка</t>
  </si>
  <si>
    <t>Вброс</t>
  </si>
  <si>
    <t>Перекладывание</t>
  </si>
  <si>
    <t>Оценка числа бюллетеней, сфальсифицированных в пользу ЕР</t>
  </si>
  <si>
    <t>Макс. размер кружка</t>
  </si>
  <si>
    <t>Вручную задано: ЕР без фальс. (%)</t>
  </si>
  <si>
    <t>КОИБ</t>
  </si>
  <si>
    <t>N</t>
  </si>
  <si>
    <t>ОИК</t>
  </si>
  <si>
    <t>Нововолково</t>
  </si>
  <si>
    <t>Покровское</t>
  </si>
  <si>
    <t>Ивойлово</t>
  </si>
  <si>
    <t>Никольское</t>
  </si>
  <si>
    <t>Брикет</t>
  </si>
  <si>
    <t>Покровское псих. больница</t>
  </si>
  <si>
    <t>Колюбакино</t>
  </si>
  <si>
    <t>Орешки</t>
  </si>
  <si>
    <t>Поречье</t>
  </si>
  <si>
    <t>Руза</t>
  </si>
  <si>
    <t>Беляная Гора</t>
  </si>
  <si>
    <t>Лидино</t>
  </si>
  <si>
    <t>Руза лесхоз</t>
  </si>
  <si>
    <t>Горбово</t>
  </si>
  <si>
    <t>Сытьково</t>
  </si>
  <si>
    <t>Тучково</t>
  </si>
  <si>
    <t>Тучково - новый УИК сформ. к этим выборам</t>
  </si>
  <si>
    <t>Кожино</t>
  </si>
  <si>
    <t>Нестерово</t>
  </si>
  <si>
    <t>Старая Руза</t>
  </si>
  <si>
    <t>Богородское</t>
  </si>
  <si>
    <t>Космодемьянский</t>
  </si>
  <si>
    <t>Дорохово</t>
  </si>
  <si>
    <t>Лыщиково</t>
  </si>
  <si>
    <t>Число бюллетеней, выданных избирателям, проголосовавшим досрочно в помещении избирательной комиссии муниципального образования</t>
  </si>
  <si>
    <t>Число бюллетеней, выданных избирателям, проголосовавшим вне помещения для голосования в день голосования</t>
  </si>
  <si>
    <t>1. Политическая партия КОММУНИСТИЧЕСКАЯ ПАРТИЯ КОММУНИСТЫ РОССИИ</t>
  </si>
  <si>
    <t>2. Всероссийская политическая партия "ЕДИНАЯ РОССИЯ"</t>
  </si>
  <si>
    <t>3. ПАРТИЯ ПЕНСИОНЕРОВ</t>
  </si>
  <si>
    <t>4. Политическая партия ЛДПР – Либерально-демократическая партия России</t>
  </si>
  <si>
    <t>5. Политическая партия "НОВЫЕ ЛЮДИ"</t>
  </si>
  <si>
    <t>7. ВСЕРОССИЙСКАЯ ПОЛИТИЧЕСКАЯ ПАРТИЯ "РОДИНА"</t>
  </si>
  <si>
    <t>Коммунисты России</t>
  </si>
  <si>
    <t>Число бюллетеней, выданных избирателям, проголосовавшим досрочно в помещении территориальной избирательной комиссии</t>
  </si>
  <si>
    <t>Число избирателей, внесенных в список на момент окончания голосования</t>
  </si>
  <si>
    <t>Число бюллетеней, выданных избирателям, в помещении для голосования в день голосования</t>
  </si>
  <si>
    <t>Бурлаенко Татьяна Алексеевна</t>
  </si>
  <si>
    <t>Вахмистров Евгений Павлович</t>
  </si>
  <si>
    <t>Корякина Светлана Николаевна</t>
  </si>
  <si>
    <t>Малюта Юлия Юрьевна</t>
  </si>
  <si>
    <t>Чубенко Алексей Николаевич</t>
  </si>
  <si>
    <t>Щербакова Ольга Борисовна</t>
  </si>
  <si>
    <t>Бурлаенко (ЕР)</t>
  </si>
  <si>
    <t>Вахмистров (Родина)</t>
  </si>
  <si>
    <t>Корякина (пенсионеров)</t>
  </si>
  <si>
    <t>Малюта</t>
  </si>
  <si>
    <t>Чубенко (СР)</t>
  </si>
  <si>
    <t>Щербакова (ЛДПР)</t>
  </si>
  <si>
    <t>Макс. размер кружка               .</t>
  </si>
  <si>
    <t>Анищенков Николай Леонидович</t>
  </si>
  <si>
    <t>Власов Олег Яковлевич</t>
  </si>
  <si>
    <t>Ганин Сергей Александрович</t>
  </si>
  <si>
    <t>Доронина Елена Геннадьевна</t>
  </si>
  <si>
    <t>Калтайс Александр Валерьевич</t>
  </si>
  <si>
    <t>Коротков Андрей Викторович</t>
  </si>
  <si>
    <t>Михайлов Вадим Геннадьевич</t>
  </si>
  <si>
    <t>Хохлов Сергей Алексеевич</t>
  </si>
  <si>
    <t>Анищенков (ЕР)</t>
  </si>
  <si>
    <t>Власов</t>
  </si>
  <si>
    <t>Ганин</t>
  </si>
  <si>
    <t>Доронина</t>
  </si>
  <si>
    <t>Калтайс (ЛДПР)</t>
  </si>
  <si>
    <t>Коротков (пенсионеров)</t>
  </si>
  <si>
    <t>Михайлов (Родина)</t>
  </si>
  <si>
    <t>Хохлов (СР)</t>
  </si>
  <si>
    <t>Данилов Вячеслав Александрович</t>
  </si>
  <si>
    <t>Космынин Андрей Николаевич</t>
  </si>
  <si>
    <t>Никитенков Владимир Владимирович</t>
  </si>
  <si>
    <t>Орлов Владимир Сергеевич</t>
  </si>
  <si>
    <t>Сорокин Андрей Валентинович</t>
  </si>
  <si>
    <t>Данилов (ЕР)</t>
  </si>
  <si>
    <t>Космынин</t>
  </si>
  <si>
    <t>Никитенков (Родина)</t>
  </si>
  <si>
    <t>Орлов (ЛДПР)</t>
  </si>
  <si>
    <t>Сорокин (СР)</t>
  </si>
  <si>
    <t>Бахтинов Андрей Александрович</t>
  </si>
  <si>
    <t>Бурмистенков Владимир Владимирович</t>
  </si>
  <si>
    <t>Васина Татьяна Алексеевна</t>
  </si>
  <si>
    <t>Васина</t>
  </si>
  <si>
    <t>Голубев Николай Александрович</t>
  </si>
  <si>
    <t>Дедюжев Денис Игоревич</t>
  </si>
  <si>
    <t>Костроменков Александр Владимирович</t>
  </si>
  <si>
    <t>Костроменков</t>
  </si>
  <si>
    <t>Бахтинов (ЛДПР)</t>
  </si>
  <si>
    <t>Бурмистенков (ЕР)</t>
  </si>
  <si>
    <t>Голубев (пенсионеров)</t>
  </si>
  <si>
    <t>Дедюжев (СР)</t>
  </si>
  <si>
    <t>Вереина Ирина Алексеевна</t>
  </si>
  <si>
    <t>Паршков Максим Борисович</t>
  </si>
  <si>
    <t>Поляков Николай Евгеньевич</t>
  </si>
  <si>
    <t>Хвингия Ирина Сергеевна</t>
  </si>
  <si>
    <t>Шалакова Светлана Алексеевна</t>
  </si>
  <si>
    <t>Шалакова</t>
  </si>
  <si>
    <t>Щемелева Валентина Анатольевна</t>
  </si>
  <si>
    <t>Вереина (ЕР)</t>
  </si>
  <si>
    <t>Паршков (пенсионеров)</t>
  </si>
  <si>
    <t>Поляков (ЛДПР)</t>
  </si>
  <si>
    <t>Хвингия (Родина)</t>
  </si>
  <si>
    <t>Щемелева (СР)</t>
  </si>
  <si>
    <t>Байдаков Эдуард Михайлович</t>
  </si>
  <si>
    <t>Вишнякова Елена Константиновна</t>
  </si>
  <si>
    <t>Максимов Тимофей Андреевич</t>
  </si>
  <si>
    <t>Нарватов Михаил Васильевич</t>
  </si>
  <si>
    <t>Нарватов</t>
  </si>
  <si>
    <t>Таранова Наталья Васильевна</t>
  </si>
  <si>
    <t>Байдаков (пенсионеров)</t>
  </si>
  <si>
    <t>Вишнякова (ЕР)</t>
  </si>
  <si>
    <t>Максимов (СР)</t>
  </si>
  <si>
    <t>Таранова (ЛДПР)</t>
  </si>
  <si>
    <t>Баранов Дмитрий Александрович</t>
  </si>
  <si>
    <t>Буланкин Сергей Владимирович</t>
  </si>
  <si>
    <t>Губанова Валерия Арипхановна</t>
  </si>
  <si>
    <t>Нечаева Дарья Алексеевна</t>
  </si>
  <si>
    <t>Соловьев Андрей Егорович</t>
  </si>
  <si>
    <t>Соломатина Мария Алексеевна</t>
  </si>
  <si>
    <t>Цилина Ольга Викторовна</t>
  </si>
  <si>
    <t>Цилина</t>
  </si>
  <si>
    <t>Баранов (ЕР)</t>
  </si>
  <si>
    <t>Буланкин (СР)</t>
  </si>
  <si>
    <t>Губанова (пенсионеров)</t>
  </si>
  <si>
    <t>Нечаева (Новые люди)</t>
  </si>
  <si>
    <t>Соловьев (ЛДПР)</t>
  </si>
  <si>
    <t>Соломатина (Родина)</t>
  </si>
  <si>
    <t>Борисов Михаил Сергеевич</t>
  </si>
  <si>
    <t>Галетов Иван Дмитриевич</t>
  </si>
  <si>
    <t>Галетов</t>
  </si>
  <si>
    <t>Григорьев Олег Валерьевич</t>
  </si>
  <si>
    <t>Клюев Никита Максимович</t>
  </si>
  <si>
    <t>Кухаренко Владимир Вячеславович</t>
  </si>
  <si>
    <t>Пичугина Зоя Ивановна</t>
  </si>
  <si>
    <t>Слуцкий Александр Владимирович</t>
  </si>
  <si>
    <t>Якушева Ирина Вячеславовна</t>
  </si>
  <si>
    <t>Якушева</t>
  </si>
  <si>
    <t>Борисов (СР)</t>
  </si>
  <si>
    <t>Григорьев (Новые люди)</t>
  </si>
  <si>
    <t>Клюев (ЛДПР)</t>
  </si>
  <si>
    <t>Кухаренко (Родина)</t>
  </si>
  <si>
    <t>Пичугина (пенсионеров)</t>
  </si>
  <si>
    <t>Слуцкий (ЕР)</t>
  </si>
  <si>
    <t>Быковская Ольга Сергеевна</t>
  </si>
  <si>
    <t>Егорова Олеся Владимировна</t>
  </si>
  <si>
    <t>Егорова</t>
  </si>
  <si>
    <t>Клюева Светлана Леонардовна</t>
  </si>
  <si>
    <t>Кучарина Марина Николаевна</t>
  </si>
  <si>
    <t>Милютина Татьяна Игоревна</t>
  </si>
  <si>
    <t>Рогова Ирина Олеговна</t>
  </si>
  <si>
    <t>Рогова</t>
  </si>
  <si>
    <t>Сиваков Артур Викторович</t>
  </si>
  <si>
    <t>Быковская (Родина)</t>
  </si>
  <si>
    <t>Клюева (ЛДПР)</t>
  </si>
  <si>
    <t>Кучарина (ЕР)</t>
  </si>
  <si>
    <t>Милютина (пенсионеров)</t>
  </si>
  <si>
    <t>Сиваков (СР)</t>
  </si>
  <si>
    <t>Вершинин Евгений Петрович</t>
  </si>
  <si>
    <t>Ермилова Марина Леонидовна</t>
  </si>
  <si>
    <t>Ермилова</t>
  </si>
  <si>
    <t>Колистратов Дмитрий Анатольевич</t>
  </si>
  <si>
    <t>Рыбальченко Андрей Николаевич</t>
  </si>
  <si>
    <t>Хацук Анастасия Павловна</t>
  </si>
  <si>
    <t>Цалис Елена Станиславовна</t>
  </si>
  <si>
    <t>Вершинин (пенсионеров)</t>
  </si>
  <si>
    <t>Колистратов (СР)</t>
  </si>
  <si>
    <t>Рыбальченко (ЕР)</t>
  </si>
  <si>
    <t>Хацук (ЛДПР)</t>
  </si>
  <si>
    <t>Цалис (Родина)</t>
  </si>
  <si>
    <t>три дня</t>
  </si>
  <si>
    <t>сб, вс</t>
  </si>
  <si>
    <t>три дня и ночь подведения итогов, зубастый набл, плюс хороший кандидат самовыдвиженец, спалили что заполняют реестр надомного - пресекли дописки туда, на надомное не ездили</t>
  </si>
  <si>
    <t>три дня по одному</t>
  </si>
  <si>
    <t>три дня по одному на каждый день</t>
  </si>
  <si>
    <t>Качество наблюдения</t>
  </si>
  <si>
    <t>Число мандатов</t>
  </si>
  <si>
    <t>Избирательное частное</t>
  </si>
  <si>
    <t>Число голосов / избирательное частное</t>
  </si>
  <si>
    <t>Первичное распределение мандатов</t>
  </si>
  <si>
    <t>Всего</t>
  </si>
  <si>
    <t>По одному мандату кому не досталось</t>
  </si>
  <si>
    <t>Распределение мандатов согласно ст. 65 ЗМО от 04.06.2013 N
46/2013-ОЗ</t>
  </si>
  <si>
    <t>Сумма голосов по спискам, допущенным к распределению мандатов</t>
  </si>
  <si>
    <t>Вторичное распределение мандатов (по наибольшей дробной части среди не получивших на предыдущем шаге, ВВОДИТСЯ ВРУЧНУЮ)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</si>
</sst>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6" x14ac:knownFonts="1">
    <font>
      <sz val="11"/>
      <color theme="1"/>
      <name val="Calibri"/>
      <family val="2"/>
      <scheme val="minor"/>
    </font>
    <font>
      <b/>
      <sz val="11"/>
      <color theme="1"/>
      <name val="Calibri"/>
      <family val="2"/>
      <scheme val="minor"/>
    </font>
    <font>
      <sz val="11"/>
      <color theme="1"/>
      <name val="Calibri"/>
      <family val="2"/>
      <charset val="204"/>
      <scheme val="minor"/>
    </font>
    <font>
      <sz val="8"/>
      <name val="Calibri"/>
      <family val="2"/>
      <scheme val="minor"/>
    </font>
    <font>
      <sz val="11"/>
      <color rgb="FF777777"/>
      <name val="Calibri"/>
      <family val="2"/>
      <scheme val="minor"/>
    </font>
    <font>
      <b/>
      <sz val="11"/>
      <color theme="1"/>
      <name val="Calibri"/>
      <family val="2"/>
      <charset val="204"/>
      <scheme val="minor"/>
    </font>
  </fonts>
  <fills count="3">
    <fill>
      <patternFill patternType="none"/>
    </fill>
    <fill>
      <patternFill patternType="gray125"/>
    </fill>
    <fill>
      <patternFill patternType="solid">
        <fgColor rgb="FFDDDDDD"/>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34">
    <xf numFmtId="0" fontId="0" fillId="0" borderId="0" xfId="0"/>
    <xf numFmtId="0" fontId="0" fillId="0" borderId="0" xfId="0" applyFill="1"/>
    <xf numFmtId="0" fontId="2" fillId="0" borderId="0" xfId="0" applyFont="1" applyFill="1"/>
    <xf numFmtId="164" fontId="0" fillId="0" borderId="0" xfId="0" applyNumberFormat="1" applyFill="1"/>
    <xf numFmtId="0" fontId="0" fillId="0" borderId="0" xfId="0" applyNumberFormat="1" applyFill="1"/>
    <xf numFmtId="164" fontId="4" fillId="0" borderId="0" xfId="0" applyNumberFormat="1" applyFont="1" applyFill="1"/>
    <xf numFmtId="1" fontId="0" fillId="0" borderId="0" xfId="0" applyNumberFormat="1" applyFill="1"/>
    <xf numFmtId="0" fontId="2" fillId="0" borderId="1" xfId="0" applyFont="1" applyFill="1" applyBorder="1" applyAlignment="1">
      <alignment vertical="top"/>
    </xf>
    <xf numFmtId="0" fontId="0" fillId="2" borderId="0" xfId="0" applyFill="1"/>
    <xf numFmtId="164" fontId="5" fillId="0" borderId="0" xfId="0" applyNumberFormat="1" applyFont="1" applyFill="1"/>
    <xf numFmtId="0" fontId="2" fillId="0" borderId="0" xfId="0" applyFont="1"/>
    <xf numFmtId="0" fontId="1" fillId="0" borderId="1" xfId="0" applyFont="1" applyFill="1" applyBorder="1" applyAlignment="1">
      <alignment vertical="top"/>
    </xf>
    <xf numFmtId="0" fontId="5" fillId="0" borderId="0" xfId="0" applyFont="1" applyAlignment="1"/>
    <xf numFmtId="164" fontId="0" fillId="0" borderId="0" xfId="0" applyNumberFormat="1" applyFill="1" applyAlignment="1"/>
    <xf numFmtId="164" fontId="2" fillId="0" borderId="1" xfId="0" applyNumberFormat="1" applyFont="1" applyFill="1" applyBorder="1" applyAlignment="1">
      <alignment vertical="top"/>
    </xf>
    <xf numFmtId="0" fontId="2" fillId="0" borderId="2" xfId="0" applyFont="1" applyBorder="1" applyAlignment="1">
      <alignment vertical="top"/>
    </xf>
    <xf numFmtId="0" fontId="0" fillId="0" borderId="0" xfId="0" applyFill="1" applyAlignment="1"/>
    <xf numFmtId="0" fontId="5" fillId="0" borderId="0" xfId="0" applyFont="1"/>
    <xf numFmtId="164" fontId="0" fillId="0" borderId="0" xfId="0" applyNumberFormat="1"/>
    <xf numFmtId="0" fontId="2" fillId="0" borderId="1" xfId="0" applyFont="1" applyFill="1" applyBorder="1" applyAlignment="1">
      <alignment horizontal="left" vertical="top"/>
    </xf>
    <xf numFmtId="0" fontId="1" fillId="0" borderId="1" xfId="0" applyFont="1" applyFill="1" applyBorder="1" applyAlignment="1">
      <alignment horizontal="left" vertical="top"/>
    </xf>
    <xf numFmtId="0" fontId="5" fillId="0" borderId="0" xfId="0" applyFont="1" applyAlignment="1">
      <alignment horizontal="left"/>
    </xf>
    <xf numFmtId="164" fontId="0" fillId="0" borderId="0" xfId="0" applyNumberFormat="1" applyFill="1" applyAlignment="1">
      <alignment horizontal="left"/>
    </xf>
    <xf numFmtId="164" fontId="2" fillId="0" borderId="1" xfId="0" applyNumberFormat="1" applyFont="1" applyFill="1" applyBorder="1" applyAlignment="1">
      <alignment horizontal="left" vertical="top"/>
    </xf>
    <xf numFmtId="0" fontId="2" fillId="0" borderId="2" xfId="0" applyFont="1" applyBorder="1" applyAlignment="1">
      <alignment horizontal="left" vertical="top"/>
    </xf>
    <xf numFmtId="0" fontId="2" fillId="0" borderId="2" xfId="0" applyFont="1" applyFill="1" applyBorder="1" applyAlignment="1">
      <alignment horizontal="left" vertical="top"/>
    </xf>
    <xf numFmtId="1" fontId="2" fillId="0" borderId="2" xfId="0" applyNumberFormat="1" applyFont="1" applyFill="1" applyBorder="1" applyAlignment="1">
      <alignment horizontal="left" vertical="top"/>
    </xf>
    <xf numFmtId="0" fontId="0" fillId="0" borderId="0" xfId="0" applyFill="1" applyAlignment="1">
      <alignment horizontal="left"/>
    </xf>
    <xf numFmtId="165" fontId="0" fillId="0" borderId="0" xfId="0" applyNumberFormat="1" applyFill="1"/>
    <xf numFmtId="49" fontId="5" fillId="0" borderId="0" xfId="0" applyNumberFormat="1" applyFont="1" applyFill="1" applyAlignment="1"/>
    <xf numFmtId="2" fontId="0" fillId="0" borderId="0" xfId="0" applyNumberFormat="1" applyFill="1"/>
    <xf numFmtId="2" fontId="0" fillId="2" borderId="0" xfId="0" applyNumberFormat="1" applyFill="1"/>
    <xf numFmtId="2" fontId="5" fillId="2" borderId="0" xfId="0" applyNumberFormat="1" applyFont="1" applyFill="1"/>
    <xf numFmtId="1" fontId="0" fillId="0" borderId="0" xfId="0" applyNumberFormat="1"/>
  </cellXfs>
  <cellStyles count="1">
    <cellStyle name="Normal" xfId="0" builtinId="0"/>
  </cellStyles>
  <dxfs count="836">
    <dxf>
      <fill>
        <patternFill patternType="none">
          <fgColor indexed="64"/>
          <bgColor indexed="65"/>
        </patternFill>
      </fill>
    </dxf>
    <dxf>
      <numFmt numFmtId="164" formatCode="0.0"/>
      <fill>
        <patternFill patternType="none">
          <fgColor rgb="FF000000"/>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numFmt numFmtId="164" formatCode="0.0"/>
      <fill>
        <patternFill patternType="none">
          <fgColor rgb="FF000000"/>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numFmt numFmtId="164" formatCode="0.0"/>
      <fill>
        <patternFill patternType="none">
          <fgColor rgb="FF000000"/>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numFmt numFmtId="164" formatCode="0.0"/>
      <fill>
        <patternFill patternType="none">
          <fgColor rgb="FF000000"/>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numFmt numFmtId="164" formatCode="0.0"/>
      <fill>
        <patternFill patternType="none">
          <fgColor rgb="FF000000"/>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numFmt numFmtId="164" formatCode="0.0"/>
      <fill>
        <patternFill patternType="none">
          <fgColor rgb="FF000000"/>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numFmt numFmtId="164" formatCode="0.0"/>
      <fill>
        <patternFill patternType="none">
          <fgColor rgb="FF000000"/>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numFmt numFmtId="164" formatCode="0.0"/>
      <fill>
        <patternFill patternType="none">
          <fgColor rgb="FF000000"/>
          <bgColor auto="1"/>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fill>
        <patternFill patternType="none">
          <fgColor indexed="64"/>
          <bgColor indexed="65"/>
        </patternFill>
      </fill>
    </dxf>
    <dxf>
      <fill>
        <patternFill patternType="none">
          <fgColor rgb="FF000000"/>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auto="1"/>
        </left>
        <right style="thin">
          <color auto="1"/>
        </right>
        <top/>
        <bottom/>
      </border>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numFmt numFmtId="1" formatCode="0"/>
      <fill>
        <patternFill patternType="none">
          <fgColor indexed="64"/>
          <bgColor indexed="65"/>
        </patternFill>
      </fill>
    </dxf>
    <dxf>
      <numFmt numFmtId="1" formatCode="0"/>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solid">
          <fgColor indexed="64"/>
          <bgColor rgb="FFDDDDDD"/>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numFmt numFmtId="164" formatCode="0.0"/>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indexed="65"/>
        </patternFill>
      </fill>
    </dxf>
    <dxf>
      <numFmt numFmtId="0" formatCode="General"/>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auto="1"/>
        </left>
        <right style="thin">
          <color auto="1"/>
        </right>
        <top/>
        <bottom/>
      </border>
    </dxf>
  </dxfs>
  <tableStyles count="0" defaultPivotStyle="PivotStyleLight16"/>
  <colors>
    <mruColors>
      <color rgb="FFFF0000"/>
      <color rgb="FF6666FF"/>
      <color rgb="FF808080"/>
      <color rgb="FF6600FF"/>
      <color rgb="FF9900FF"/>
      <color rgb="FFFF9900"/>
      <color rgb="FF0000FF"/>
      <color rgb="FF000000"/>
      <color rgb="FFC896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microsoft.com/office/2007/relationships/slicerCache" Target="slicerCaches/slicerCache7.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10.xml"/><Relationship Id="rId7" Type="http://schemas.openxmlformats.org/officeDocument/2006/relationships/worksheet" Target="worksheets/sheet7.xml"/><Relationship Id="rId12" Type="http://schemas.microsoft.com/office/2007/relationships/slicerCache" Target="slicerCaches/slicerCache1.xml"/><Relationship Id="rId17" Type="http://schemas.microsoft.com/office/2007/relationships/slicerCache" Target="slicerCaches/slicerCache6.xml"/><Relationship Id="rId25" Type="http://schemas.openxmlformats.org/officeDocument/2006/relationships/sharedStrings" Target="sharedStrings.xml"/><Relationship Id="rId2" Type="http://schemas.openxmlformats.org/officeDocument/2006/relationships/worksheet" Target="worksheets/sheet2.xml"/><Relationship Id="rId16" Type="http://schemas.microsoft.com/office/2007/relationships/slicerCache" Target="slicerCaches/slicerCache5.xml"/><Relationship Id="rId20" Type="http://schemas.microsoft.com/office/2007/relationships/slicerCache" Target="slicerCaches/slicerCache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microsoft.com/office/2007/relationships/slicerCache" Target="slicerCaches/slicerCache4.xml"/><Relationship Id="rId23" Type="http://schemas.openxmlformats.org/officeDocument/2006/relationships/theme" Target="theme/theme1.xml"/><Relationship Id="rId10" Type="http://schemas.openxmlformats.org/officeDocument/2006/relationships/worksheet" Target="worksheets/sheet10.xml"/><Relationship Id="rId19" Type="http://schemas.microsoft.com/office/2007/relationships/slicerCache" Target="slicerCaches/slicerCache8.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 Id="rId22" Type="http://schemas.microsoft.com/office/2007/relationships/slicerCache" Target="slicerCaches/slicerCache1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'Партии (единый округ)'!$W$1</c:f>
              <c:strCache>
                <c:ptCount val="1"/>
                <c:pt idx="0">
                  <c:v>Коммунисты России</c:v>
                </c:pt>
              </c:strCache>
            </c:strRef>
          </c:tx>
          <c:spPr>
            <a:solidFill>
              <a:srgbClr val="FF9999">
                <a:alpha val="50000"/>
              </a:srgbClr>
            </a:solidFill>
            <a:ln w="25400">
              <a:noFill/>
            </a:ln>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округ)'!$W$2:$W$41</c:f>
              <c:numCache>
                <c:formatCode>0.0</c:formatCode>
                <c:ptCount val="39"/>
                <c:pt idx="0">
                  <c:v>7.4850299401197606</c:v>
                </c:pt>
                <c:pt idx="1">
                  <c:v>10.126582278481013</c:v>
                </c:pt>
                <c:pt idx="2">
                  <c:v>10.218978102189782</c:v>
                </c:pt>
                <c:pt idx="3">
                  <c:v>11.059907834101383</c:v>
                </c:pt>
                <c:pt idx="4">
                  <c:v>4.166666666666667</c:v>
                </c:pt>
                <c:pt idx="5">
                  <c:v>5</c:v>
                </c:pt>
                <c:pt idx="6">
                  <c:v>8.6206896551724146</c:v>
                </c:pt>
                <c:pt idx="7">
                  <c:v>6.6860465116279073</c:v>
                </c:pt>
                <c:pt idx="8">
                  <c:v>5.9233449477351918</c:v>
                </c:pt>
                <c:pt idx="9">
                  <c:v>8.0378250591016549</c:v>
                </c:pt>
                <c:pt idx="10">
                  <c:v>9.502262443438914</c:v>
                </c:pt>
                <c:pt idx="11">
                  <c:v>8.1232492997198875</c:v>
                </c:pt>
                <c:pt idx="12">
                  <c:v>10.704225352112676</c:v>
                </c:pt>
                <c:pt idx="13">
                  <c:v>6.8452380952380949</c:v>
                </c:pt>
                <c:pt idx="14">
                  <c:v>3.4852546916890081</c:v>
                </c:pt>
                <c:pt idx="15">
                  <c:v>9.1314031180400885</c:v>
                </c:pt>
                <c:pt idx="16">
                  <c:v>7.7441077441077439</c:v>
                </c:pt>
                <c:pt idx="17">
                  <c:v>5.283018867924528</c:v>
                </c:pt>
                <c:pt idx="18">
                  <c:v>1.3245033112582782</c:v>
                </c:pt>
                <c:pt idx="19">
                  <c:v>10</c:v>
                </c:pt>
                <c:pt idx="20">
                  <c:v>7.2186836518046711</c:v>
                </c:pt>
                <c:pt idx="21">
                  <c:v>6.5843621399176957</c:v>
                </c:pt>
                <c:pt idx="22">
                  <c:v>7.9069767441860463</c:v>
                </c:pt>
                <c:pt idx="23">
                  <c:v>3.8690476190476191</c:v>
                </c:pt>
                <c:pt idx="24">
                  <c:v>9.3181818181818183</c:v>
                </c:pt>
                <c:pt idx="25">
                  <c:v>9.1549295774647881</c:v>
                </c:pt>
                <c:pt idx="26">
                  <c:v>13.300492610837438</c:v>
                </c:pt>
                <c:pt idx="27">
                  <c:v>8.9285714285714288</c:v>
                </c:pt>
                <c:pt idx="28">
                  <c:v>9.2009685230024214</c:v>
                </c:pt>
                <c:pt idx="29">
                  <c:v>7.4803149606299213</c:v>
                </c:pt>
                <c:pt idx="30">
                  <c:v>8.6355785837651116</c:v>
                </c:pt>
                <c:pt idx="31">
                  <c:v>6.5088757396449708</c:v>
                </c:pt>
                <c:pt idx="32">
                  <c:v>10.344827586206897</c:v>
                </c:pt>
                <c:pt idx="33">
                  <c:v>11.304347826086957</c:v>
                </c:pt>
                <c:pt idx="34">
                  <c:v>5.882352941176471</c:v>
                </c:pt>
                <c:pt idx="35">
                  <c:v>7.9601990049751246</c:v>
                </c:pt>
                <c:pt idx="36">
                  <c:v>6.2913907284768209</c:v>
                </c:pt>
                <c:pt idx="37">
                  <c:v>9.7457627118644066</c:v>
                </c:pt>
                <c:pt idx="38">
                  <c:v>1.9762845849802371</c:v>
                </c:pt>
              </c:numCache>
            </c:numRef>
          </c:yVal>
          <c:bubbleSize>
            <c:numRef>
              <c:f>'Партии (единый округ)'!$E$2:$E$41</c:f>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0-36CE-4AFB-9313-7A7B86C5B0D3}"/>
            </c:ext>
          </c:extLst>
        </c:ser>
        <c:ser>
          <c:idx val="9"/>
          <c:order val="1"/>
          <c:tx>
            <c:strRef>
              <c:f>'Партии (единый округ)'!$Y$1</c:f>
              <c:strCache>
                <c:ptCount val="1"/>
                <c:pt idx="0">
                  <c:v>Единая Россия</c:v>
                </c:pt>
              </c:strCache>
            </c:strRef>
          </c:tx>
          <c:spPr>
            <a:solidFill>
              <a:srgbClr val="0000FF">
                <a:alpha val="50000"/>
              </a:srgbClr>
            </a:solidFill>
            <a:ln w="25400"/>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округ)'!$Y$2:$Y$41</c:f>
              <c:numCache>
                <c:formatCode>0.0</c:formatCode>
                <c:ptCount val="39"/>
                <c:pt idx="0">
                  <c:v>43.113772455089823</c:v>
                </c:pt>
                <c:pt idx="1">
                  <c:v>42.405063291139243</c:v>
                </c:pt>
                <c:pt idx="2">
                  <c:v>37.956204379562045</c:v>
                </c:pt>
                <c:pt idx="3">
                  <c:v>54.838709677419352</c:v>
                </c:pt>
                <c:pt idx="4">
                  <c:v>59.090909090909093</c:v>
                </c:pt>
                <c:pt idx="5">
                  <c:v>75</c:v>
                </c:pt>
                <c:pt idx="6">
                  <c:v>50.431034482758619</c:v>
                </c:pt>
                <c:pt idx="7">
                  <c:v>64.825581395348834</c:v>
                </c:pt>
                <c:pt idx="8">
                  <c:v>65.505226480836242</c:v>
                </c:pt>
                <c:pt idx="9">
                  <c:v>45.626477541371159</c:v>
                </c:pt>
                <c:pt idx="10">
                  <c:v>48.41628959276018</c:v>
                </c:pt>
                <c:pt idx="11">
                  <c:v>48.739495798319325</c:v>
                </c:pt>
                <c:pt idx="12">
                  <c:v>47.323943661971832</c:v>
                </c:pt>
                <c:pt idx="13">
                  <c:v>56.25</c:v>
                </c:pt>
                <c:pt idx="14">
                  <c:v>66.219839142091146</c:v>
                </c:pt>
                <c:pt idx="15">
                  <c:v>40.311804008908688</c:v>
                </c:pt>
                <c:pt idx="16">
                  <c:v>66.666666666666671</c:v>
                </c:pt>
                <c:pt idx="17">
                  <c:v>72.64150943396227</c:v>
                </c:pt>
                <c:pt idx="18">
                  <c:v>66.88741721854305</c:v>
                </c:pt>
                <c:pt idx="19">
                  <c:v>53.80952380952381</c:v>
                </c:pt>
                <c:pt idx="20">
                  <c:v>67.72823779193206</c:v>
                </c:pt>
                <c:pt idx="21">
                  <c:v>48.559670781893004</c:v>
                </c:pt>
                <c:pt idx="22">
                  <c:v>46.97674418604651</c:v>
                </c:pt>
                <c:pt idx="23">
                  <c:v>48.214285714285715</c:v>
                </c:pt>
                <c:pt idx="24">
                  <c:v>40.227272727272727</c:v>
                </c:pt>
                <c:pt idx="25">
                  <c:v>45.305164319248824</c:v>
                </c:pt>
                <c:pt idx="26">
                  <c:v>42.857142857142854</c:v>
                </c:pt>
                <c:pt idx="27">
                  <c:v>37.053571428571431</c:v>
                </c:pt>
                <c:pt idx="28">
                  <c:v>53.026634382566584</c:v>
                </c:pt>
                <c:pt idx="29">
                  <c:v>48.425196850393704</c:v>
                </c:pt>
                <c:pt idx="30">
                  <c:v>47.495682210708118</c:v>
                </c:pt>
                <c:pt idx="31">
                  <c:v>57.988165680473372</c:v>
                </c:pt>
                <c:pt idx="32">
                  <c:v>44.827586206896555</c:v>
                </c:pt>
                <c:pt idx="33">
                  <c:v>53.913043478260867</c:v>
                </c:pt>
                <c:pt idx="34">
                  <c:v>62.867647058823529</c:v>
                </c:pt>
                <c:pt idx="35">
                  <c:v>58.706467661691541</c:v>
                </c:pt>
                <c:pt idx="36">
                  <c:v>62.58278145695364</c:v>
                </c:pt>
                <c:pt idx="37">
                  <c:v>53.389830508474574</c:v>
                </c:pt>
                <c:pt idx="38">
                  <c:v>88.932806324110672</c:v>
                </c:pt>
              </c:numCache>
            </c:numRef>
          </c:yVal>
          <c:bubbleSize>
            <c:numRef>
              <c:f>'Партии (единый округ)'!$E$2:$E$41</c:f>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1-36CE-4AFB-9313-7A7B86C5B0D3}"/>
            </c:ext>
          </c:extLst>
        </c:ser>
        <c:ser>
          <c:idx val="10"/>
          <c:order val="2"/>
          <c:tx>
            <c:strRef>
              <c:f>'Партии (единый округ)'!$AA$1</c:f>
              <c:strCache>
                <c:ptCount val="1"/>
                <c:pt idx="0">
                  <c:v>Пенсионеров</c:v>
                </c:pt>
              </c:strCache>
            </c:strRef>
          </c:tx>
          <c:spPr>
            <a:solidFill>
              <a:srgbClr val="C89600">
                <a:alpha val="50000"/>
              </a:srgbClr>
            </a:solidFill>
            <a:ln w="25400">
              <a:noFill/>
            </a:ln>
            <a:effectLst/>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округ)'!$AA$2:$AA$41</c:f>
              <c:numCache>
                <c:formatCode>0.0</c:formatCode>
                <c:ptCount val="39"/>
                <c:pt idx="0">
                  <c:v>9.2814371257485035</c:v>
                </c:pt>
                <c:pt idx="1">
                  <c:v>6.1181434599156121</c:v>
                </c:pt>
                <c:pt idx="2">
                  <c:v>9.4890510948905114</c:v>
                </c:pt>
                <c:pt idx="3">
                  <c:v>11.059907834101383</c:v>
                </c:pt>
                <c:pt idx="4">
                  <c:v>13.636363636363637</c:v>
                </c:pt>
                <c:pt idx="5">
                  <c:v>5</c:v>
                </c:pt>
                <c:pt idx="6">
                  <c:v>10.775862068965518</c:v>
                </c:pt>
                <c:pt idx="7">
                  <c:v>3.4883720930232558</c:v>
                </c:pt>
                <c:pt idx="8">
                  <c:v>9.0592334494773521</c:v>
                </c:pt>
                <c:pt idx="9">
                  <c:v>7.5650118203309695</c:v>
                </c:pt>
                <c:pt idx="10">
                  <c:v>7.4660633484162897</c:v>
                </c:pt>
                <c:pt idx="11">
                  <c:v>15.686274509803921</c:v>
                </c:pt>
                <c:pt idx="12">
                  <c:v>14.366197183098592</c:v>
                </c:pt>
                <c:pt idx="13">
                  <c:v>11.607142857142858</c:v>
                </c:pt>
                <c:pt idx="14">
                  <c:v>12.868632707774799</c:v>
                </c:pt>
                <c:pt idx="15">
                  <c:v>15.367483296213809</c:v>
                </c:pt>
                <c:pt idx="16">
                  <c:v>8.4175084175084169</c:v>
                </c:pt>
                <c:pt idx="17">
                  <c:v>6.2264150943396226</c:v>
                </c:pt>
                <c:pt idx="18">
                  <c:v>12.582781456953642</c:v>
                </c:pt>
                <c:pt idx="19">
                  <c:v>7.6190476190476186</c:v>
                </c:pt>
                <c:pt idx="20">
                  <c:v>6.369426751592357</c:v>
                </c:pt>
                <c:pt idx="21">
                  <c:v>10.699588477366255</c:v>
                </c:pt>
                <c:pt idx="22">
                  <c:v>8.8372093023255811</c:v>
                </c:pt>
                <c:pt idx="23">
                  <c:v>10.714285714285714</c:v>
                </c:pt>
                <c:pt idx="24">
                  <c:v>10.909090909090908</c:v>
                </c:pt>
                <c:pt idx="25">
                  <c:v>8.215962441314554</c:v>
                </c:pt>
                <c:pt idx="26">
                  <c:v>9.3596059113300498</c:v>
                </c:pt>
                <c:pt idx="27">
                  <c:v>11.160714285714286</c:v>
                </c:pt>
                <c:pt idx="28">
                  <c:v>7.5060532687651333</c:v>
                </c:pt>
                <c:pt idx="29">
                  <c:v>12.204724409448819</c:v>
                </c:pt>
                <c:pt idx="30">
                  <c:v>13.12607944732297</c:v>
                </c:pt>
                <c:pt idx="31">
                  <c:v>12.42603550295858</c:v>
                </c:pt>
                <c:pt idx="32">
                  <c:v>10.919540229885058</c:v>
                </c:pt>
                <c:pt idx="33">
                  <c:v>6.9565217391304346</c:v>
                </c:pt>
                <c:pt idx="34">
                  <c:v>6.9852941176470589</c:v>
                </c:pt>
                <c:pt idx="35">
                  <c:v>11.442786069651742</c:v>
                </c:pt>
                <c:pt idx="36">
                  <c:v>10.264900662251655</c:v>
                </c:pt>
                <c:pt idx="37">
                  <c:v>14.40677966101695</c:v>
                </c:pt>
                <c:pt idx="38">
                  <c:v>1.5810276679841897</c:v>
                </c:pt>
              </c:numCache>
            </c:numRef>
          </c:yVal>
          <c:bubbleSize>
            <c:numRef>
              <c:f>'Партии (единый округ)'!$E$2:$E$41</c:f>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2-36CE-4AFB-9313-7A7B86C5B0D3}"/>
            </c:ext>
          </c:extLst>
        </c:ser>
        <c:ser>
          <c:idx val="11"/>
          <c:order val="3"/>
          <c:tx>
            <c:strRef>
              <c:f>'Партии (единый округ)'!$AC$1</c:f>
              <c:strCache>
                <c:ptCount val="1"/>
                <c:pt idx="0">
                  <c:v>ЛДПР</c:v>
                </c:pt>
              </c:strCache>
            </c:strRef>
          </c:tx>
          <c:spPr>
            <a:solidFill>
              <a:srgbClr val="FF9900">
                <a:alpha val="49804"/>
              </a:srgbClr>
            </a:solidFill>
            <a:ln w="25400">
              <a:noFill/>
            </a:ln>
            <a:effectLst/>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округ)'!$AC$2:$AC$41</c:f>
              <c:numCache>
                <c:formatCode>0.0</c:formatCode>
                <c:ptCount val="39"/>
                <c:pt idx="0">
                  <c:v>4.4910179640718564</c:v>
                </c:pt>
                <c:pt idx="1">
                  <c:v>6.7510548523206753</c:v>
                </c:pt>
                <c:pt idx="2">
                  <c:v>11.678832116788321</c:v>
                </c:pt>
                <c:pt idx="3">
                  <c:v>9.67741935483871</c:v>
                </c:pt>
                <c:pt idx="4">
                  <c:v>9.0909090909090917</c:v>
                </c:pt>
                <c:pt idx="5">
                  <c:v>7.5</c:v>
                </c:pt>
                <c:pt idx="6">
                  <c:v>9.0517241379310338</c:v>
                </c:pt>
                <c:pt idx="7">
                  <c:v>3.1976744186046511</c:v>
                </c:pt>
                <c:pt idx="8">
                  <c:v>3.1358885017421603</c:v>
                </c:pt>
                <c:pt idx="9">
                  <c:v>9.9290780141843964</c:v>
                </c:pt>
                <c:pt idx="10">
                  <c:v>6.3348416289592757</c:v>
                </c:pt>
                <c:pt idx="11">
                  <c:v>8.4033613445378155</c:v>
                </c:pt>
                <c:pt idx="12">
                  <c:v>5.352112676056338</c:v>
                </c:pt>
                <c:pt idx="13">
                  <c:v>4.4642857142857144</c:v>
                </c:pt>
                <c:pt idx="14">
                  <c:v>2.9490616621983916</c:v>
                </c:pt>
                <c:pt idx="15">
                  <c:v>9.5768374164810695</c:v>
                </c:pt>
                <c:pt idx="16">
                  <c:v>5.7239057239057241</c:v>
                </c:pt>
                <c:pt idx="17">
                  <c:v>4.716981132075472</c:v>
                </c:pt>
                <c:pt idx="18">
                  <c:v>3.3112582781456954</c:v>
                </c:pt>
                <c:pt idx="19">
                  <c:v>7.1428571428571432</c:v>
                </c:pt>
                <c:pt idx="20">
                  <c:v>6.369426751592357</c:v>
                </c:pt>
                <c:pt idx="21">
                  <c:v>2.4691358024691357</c:v>
                </c:pt>
                <c:pt idx="22">
                  <c:v>8.3720930232558146</c:v>
                </c:pt>
                <c:pt idx="23">
                  <c:v>4.7619047619047619</c:v>
                </c:pt>
                <c:pt idx="24">
                  <c:v>5.2272727272727275</c:v>
                </c:pt>
                <c:pt idx="25">
                  <c:v>5.164319248826291</c:v>
                </c:pt>
                <c:pt idx="26">
                  <c:v>4.9261083743842367</c:v>
                </c:pt>
                <c:pt idx="27">
                  <c:v>7.5892857142857144</c:v>
                </c:pt>
                <c:pt idx="28">
                  <c:v>3.1476997578692494</c:v>
                </c:pt>
                <c:pt idx="29">
                  <c:v>4.7244094488188972</c:v>
                </c:pt>
                <c:pt idx="30">
                  <c:v>7.7720207253886011</c:v>
                </c:pt>
                <c:pt idx="31">
                  <c:v>3.5502958579881656</c:v>
                </c:pt>
                <c:pt idx="32">
                  <c:v>10.919540229885058</c:v>
                </c:pt>
                <c:pt idx="33">
                  <c:v>14.782608695652174</c:v>
                </c:pt>
                <c:pt idx="34">
                  <c:v>7.3529411764705879</c:v>
                </c:pt>
                <c:pt idx="35">
                  <c:v>8.9552238805970141</c:v>
                </c:pt>
                <c:pt idx="36">
                  <c:v>3.9735099337748343</c:v>
                </c:pt>
                <c:pt idx="37">
                  <c:v>5.5084745762711869</c:v>
                </c:pt>
                <c:pt idx="38">
                  <c:v>1.9762845849802371</c:v>
                </c:pt>
              </c:numCache>
            </c:numRef>
          </c:yVal>
          <c:bubbleSize>
            <c:numRef>
              <c:f>'Партии (единый округ)'!$E$2:$E$41</c:f>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3-36CE-4AFB-9313-7A7B86C5B0D3}"/>
            </c:ext>
          </c:extLst>
        </c:ser>
        <c:ser>
          <c:idx val="12"/>
          <c:order val="4"/>
          <c:tx>
            <c:strRef>
              <c:f>'Партии (единый округ)'!$AE$1</c:f>
              <c:strCache>
                <c:ptCount val="1"/>
                <c:pt idx="0">
                  <c:v>Новые люди</c:v>
                </c:pt>
              </c:strCache>
            </c:strRef>
          </c:tx>
          <c:spPr>
            <a:solidFill>
              <a:srgbClr val="00FFFF">
                <a:alpha val="50000"/>
              </a:srgbClr>
            </a:solidFill>
            <a:ln w="25400">
              <a:noFill/>
            </a:ln>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округ)'!$AE$2:$AE$41</c:f>
              <c:numCache>
                <c:formatCode>0.0</c:formatCode>
                <c:ptCount val="39"/>
                <c:pt idx="0">
                  <c:v>4.1916167664670656</c:v>
                </c:pt>
                <c:pt idx="1">
                  <c:v>1.4767932489451476</c:v>
                </c:pt>
                <c:pt idx="2">
                  <c:v>4.3795620437956204</c:v>
                </c:pt>
                <c:pt idx="3">
                  <c:v>1.3824884792626728</c:v>
                </c:pt>
                <c:pt idx="4">
                  <c:v>2.2727272727272729</c:v>
                </c:pt>
                <c:pt idx="5">
                  <c:v>0</c:v>
                </c:pt>
                <c:pt idx="6">
                  <c:v>4.3103448275862073</c:v>
                </c:pt>
                <c:pt idx="7">
                  <c:v>0.87209302325581395</c:v>
                </c:pt>
                <c:pt idx="8">
                  <c:v>2.4390243902439024</c:v>
                </c:pt>
                <c:pt idx="9">
                  <c:v>2.3640661938534278</c:v>
                </c:pt>
                <c:pt idx="10">
                  <c:v>5.882352941176471</c:v>
                </c:pt>
                <c:pt idx="11">
                  <c:v>3.6414565826330532</c:v>
                </c:pt>
                <c:pt idx="12">
                  <c:v>2.2535211267605635</c:v>
                </c:pt>
                <c:pt idx="13">
                  <c:v>4.4642857142857144</c:v>
                </c:pt>
                <c:pt idx="14">
                  <c:v>6.4343163538873993</c:v>
                </c:pt>
                <c:pt idx="15">
                  <c:v>6.6815144766146997</c:v>
                </c:pt>
                <c:pt idx="16">
                  <c:v>2.3569023569023568</c:v>
                </c:pt>
                <c:pt idx="17">
                  <c:v>4.3396226415094343</c:v>
                </c:pt>
                <c:pt idx="18">
                  <c:v>3.9735099337748343</c:v>
                </c:pt>
                <c:pt idx="19">
                  <c:v>4.2857142857142856</c:v>
                </c:pt>
                <c:pt idx="20">
                  <c:v>4.4585987261146496</c:v>
                </c:pt>
                <c:pt idx="21">
                  <c:v>4.5267489711934159</c:v>
                </c:pt>
                <c:pt idx="22">
                  <c:v>2.3255813953488373</c:v>
                </c:pt>
                <c:pt idx="23">
                  <c:v>2.3809523809523809</c:v>
                </c:pt>
                <c:pt idx="24">
                  <c:v>3.4090909090909092</c:v>
                </c:pt>
                <c:pt idx="25">
                  <c:v>3.5211267605633805</c:v>
                </c:pt>
                <c:pt idx="26">
                  <c:v>5.9113300492610836</c:v>
                </c:pt>
                <c:pt idx="27">
                  <c:v>3.125</c:v>
                </c:pt>
                <c:pt idx="28">
                  <c:v>1.937046004842615</c:v>
                </c:pt>
                <c:pt idx="29">
                  <c:v>3.5433070866141732</c:v>
                </c:pt>
                <c:pt idx="30">
                  <c:v>5.8721934369602762</c:v>
                </c:pt>
                <c:pt idx="31">
                  <c:v>4.7337278106508878</c:v>
                </c:pt>
                <c:pt idx="32">
                  <c:v>5.7471264367816088</c:v>
                </c:pt>
                <c:pt idx="33">
                  <c:v>3.4782608695652173</c:v>
                </c:pt>
                <c:pt idx="34">
                  <c:v>4.4117647058823533</c:v>
                </c:pt>
                <c:pt idx="35">
                  <c:v>1.9900497512437811</c:v>
                </c:pt>
                <c:pt idx="36">
                  <c:v>4.6357615894039732</c:v>
                </c:pt>
                <c:pt idx="37">
                  <c:v>2.5423728813559321</c:v>
                </c:pt>
                <c:pt idx="38">
                  <c:v>1.1857707509881423</c:v>
                </c:pt>
              </c:numCache>
            </c:numRef>
          </c:yVal>
          <c:bubbleSize>
            <c:numRef>
              <c:f>'Партии (единый округ)'!$E$2:$E$41</c:f>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4-36CE-4AFB-9313-7A7B86C5B0D3}"/>
            </c:ext>
          </c:extLst>
        </c:ser>
        <c:ser>
          <c:idx val="13"/>
          <c:order val="5"/>
          <c:tx>
            <c:strRef>
              <c:f>'Партии (единый округ)'!$AG$1</c:f>
              <c:strCache>
                <c:ptCount val="1"/>
                <c:pt idx="0">
                  <c:v>СР</c:v>
                </c:pt>
              </c:strCache>
            </c:strRef>
          </c:tx>
          <c:spPr>
            <a:solidFill>
              <a:srgbClr val="6666FF">
                <a:alpha val="49804"/>
              </a:srgbClr>
            </a:solidFill>
            <a:ln w="25400"/>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округ)'!$AG$2:$AG$41</c:f>
              <c:numCache>
                <c:formatCode>0.0</c:formatCode>
                <c:ptCount val="39"/>
                <c:pt idx="0">
                  <c:v>4.7904191616766463</c:v>
                </c:pt>
                <c:pt idx="1">
                  <c:v>26.582278481012658</c:v>
                </c:pt>
                <c:pt idx="2">
                  <c:v>20.437956204379564</c:v>
                </c:pt>
                <c:pt idx="3">
                  <c:v>7.8341013824884795</c:v>
                </c:pt>
                <c:pt idx="4">
                  <c:v>9.8484848484848477</c:v>
                </c:pt>
                <c:pt idx="5">
                  <c:v>2.5</c:v>
                </c:pt>
                <c:pt idx="6">
                  <c:v>12.068965517241379</c:v>
                </c:pt>
                <c:pt idx="7">
                  <c:v>3.4883720930232558</c:v>
                </c:pt>
                <c:pt idx="8">
                  <c:v>10.452961672473867</c:v>
                </c:pt>
                <c:pt idx="9">
                  <c:v>19.385342789598109</c:v>
                </c:pt>
                <c:pt idx="10">
                  <c:v>11.312217194570136</c:v>
                </c:pt>
                <c:pt idx="11">
                  <c:v>7.0028011204481793</c:v>
                </c:pt>
                <c:pt idx="12">
                  <c:v>11.549295774647888</c:v>
                </c:pt>
                <c:pt idx="13">
                  <c:v>8.3333333333333339</c:v>
                </c:pt>
                <c:pt idx="14">
                  <c:v>0.67024128686327078</c:v>
                </c:pt>
                <c:pt idx="15">
                  <c:v>8.4632516703786198</c:v>
                </c:pt>
                <c:pt idx="16">
                  <c:v>6.0606060606060606</c:v>
                </c:pt>
                <c:pt idx="17">
                  <c:v>1.8867924528301887</c:v>
                </c:pt>
                <c:pt idx="18">
                  <c:v>7.2847682119205297</c:v>
                </c:pt>
                <c:pt idx="19">
                  <c:v>8.5714285714285712</c:v>
                </c:pt>
                <c:pt idx="20">
                  <c:v>2.9723991507430996</c:v>
                </c:pt>
                <c:pt idx="21">
                  <c:v>19.753086419753085</c:v>
                </c:pt>
                <c:pt idx="22">
                  <c:v>18.604651162790699</c:v>
                </c:pt>
                <c:pt idx="23">
                  <c:v>21.428571428571427</c:v>
                </c:pt>
                <c:pt idx="24">
                  <c:v>23.40909090909091</c:v>
                </c:pt>
                <c:pt idx="25">
                  <c:v>20.187793427230048</c:v>
                </c:pt>
                <c:pt idx="26">
                  <c:v>19.704433497536947</c:v>
                </c:pt>
                <c:pt idx="27">
                  <c:v>25.446428571428573</c:v>
                </c:pt>
                <c:pt idx="28">
                  <c:v>20.82324455205811</c:v>
                </c:pt>
                <c:pt idx="29">
                  <c:v>16.141732283464567</c:v>
                </c:pt>
                <c:pt idx="30">
                  <c:v>9.6718480138169252</c:v>
                </c:pt>
                <c:pt idx="31">
                  <c:v>10.650887573964496</c:v>
                </c:pt>
                <c:pt idx="32">
                  <c:v>11.494252873563218</c:v>
                </c:pt>
                <c:pt idx="33">
                  <c:v>7.8260869565217392</c:v>
                </c:pt>
                <c:pt idx="34">
                  <c:v>6.9852941176470589</c:v>
                </c:pt>
                <c:pt idx="35">
                  <c:v>6.4676616915422889</c:v>
                </c:pt>
                <c:pt idx="36">
                  <c:v>6.2913907284768209</c:v>
                </c:pt>
                <c:pt idx="37">
                  <c:v>7.6271186440677967</c:v>
                </c:pt>
                <c:pt idx="38">
                  <c:v>2.3715415019762847</c:v>
                </c:pt>
              </c:numCache>
            </c:numRef>
          </c:yVal>
          <c:bubbleSize>
            <c:numRef>
              <c:f>'Партии (единый округ)'!$E$2:$E$41</c:f>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5-36CE-4AFB-9313-7A7B86C5B0D3}"/>
            </c:ext>
          </c:extLst>
        </c:ser>
        <c:ser>
          <c:idx val="14"/>
          <c:order val="6"/>
          <c:tx>
            <c:strRef>
              <c:f>'Партии (единый округ)'!$AI$1</c:f>
              <c:strCache>
                <c:ptCount val="1"/>
                <c:pt idx="0">
                  <c:v>Родина</c:v>
                </c:pt>
              </c:strCache>
            </c:strRef>
          </c:tx>
          <c:spPr>
            <a:solidFill>
              <a:srgbClr val="9900FF">
                <a:alpha val="50000"/>
              </a:srgbClr>
            </a:solidFill>
            <a:ln w="25400">
              <a:noFill/>
            </a:ln>
            <a:effectLst/>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округ)'!$AI$2:$AI$41</c:f>
              <c:numCache>
                <c:formatCode>0.0</c:formatCode>
                <c:ptCount val="39"/>
                <c:pt idx="0">
                  <c:v>20.95808383233533</c:v>
                </c:pt>
                <c:pt idx="1">
                  <c:v>3.5864978902953588</c:v>
                </c:pt>
                <c:pt idx="2">
                  <c:v>0.72992700729927007</c:v>
                </c:pt>
                <c:pt idx="3">
                  <c:v>1.3824884792626728</c:v>
                </c:pt>
                <c:pt idx="4">
                  <c:v>0.37878787878787878</c:v>
                </c:pt>
                <c:pt idx="5">
                  <c:v>5</c:v>
                </c:pt>
                <c:pt idx="6">
                  <c:v>1.2931034482758621</c:v>
                </c:pt>
                <c:pt idx="7">
                  <c:v>9.5930232558139537</c:v>
                </c:pt>
                <c:pt idx="8">
                  <c:v>0.69686411149825789</c:v>
                </c:pt>
                <c:pt idx="9">
                  <c:v>2.8368794326241136</c:v>
                </c:pt>
                <c:pt idx="10">
                  <c:v>5.2036199095022626</c:v>
                </c:pt>
                <c:pt idx="11">
                  <c:v>4.7619047619047619</c:v>
                </c:pt>
                <c:pt idx="12">
                  <c:v>6.76056338028169</c:v>
                </c:pt>
                <c:pt idx="13">
                  <c:v>4.166666666666667</c:v>
                </c:pt>
                <c:pt idx="14">
                  <c:v>2.4128686327077746</c:v>
                </c:pt>
                <c:pt idx="15">
                  <c:v>5.1224944320712691</c:v>
                </c:pt>
                <c:pt idx="16">
                  <c:v>2.3569023569023568</c:v>
                </c:pt>
                <c:pt idx="17">
                  <c:v>3.9622641509433962</c:v>
                </c:pt>
                <c:pt idx="18">
                  <c:v>1.3245033112582782</c:v>
                </c:pt>
                <c:pt idx="19">
                  <c:v>4.7619047619047619</c:v>
                </c:pt>
                <c:pt idx="20">
                  <c:v>2.335456475583864</c:v>
                </c:pt>
                <c:pt idx="21">
                  <c:v>3.2921810699588478</c:v>
                </c:pt>
                <c:pt idx="22">
                  <c:v>2.7906976744186047</c:v>
                </c:pt>
                <c:pt idx="23">
                  <c:v>2.6785714285714284</c:v>
                </c:pt>
                <c:pt idx="24">
                  <c:v>2.0454545454545454</c:v>
                </c:pt>
                <c:pt idx="25">
                  <c:v>3.5211267605633805</c:v>
                </c:pt>
                <c:pt idx="26">
                  <c:v>1.4778325123152709</c:v>
                </c:pt>
                <c:pt idx="27">
                  <c:v>4.0178571428571432</c:v>
                </c:pt>
                <c:pt idx="28">
                  <c:v>0.96852300242130751</c:v>
                </c:pt>
                <c:pt idx="29">
                  <c:v>1.1811023622047243</c:v>
                </c:pt>
                <c:pt idx="30">
                  <c:v>2.4179620034542313</c:v>
                </c:pt>
                <c:pt idx="31">
                  <c:v>1.1834319526627219</c:v>
                </c:pt>
                <c:pt idx="32">
                  <c:v>3.4482758620689653</c:v>
                </c:pt>
                <c:pt idx="33">
                  <c:v>0.86956521739130432</c:v>
                </c:pt>
                <c:pt idx="34">
                  <c:v>1.4705882352941178</c:v>
                </c:pt>
                <c:pt idx="35">
                  <c:v>0.99502487562189057</c:v>
                </c:pt>
                <c:pt idx="36">
                  <c:v>1.9867549668874172</c:v>
                </c:pt>
                <c:pt idx="37">
                  <c:v>2.9661016949152543</c:v>
                </c:pt>
                <c:pt idx="38">
                  <c:v>0.39525691699604742</c:v>
                </c:pt>
              </c:numCache>
            </c:numRef>
          </c:yVal>
          <c:bubbleSize>
            <c:numRef>
              <c:f>'Партии (единый округ)'!$E$2:$E$41</c:f>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6-36CE-4AFB-9313-7A7B86C5B0D3}"/>
            </c:ext>
          </c:extLst>
        </c:ser>
        <c:ser>
          <c:idx val="0"/>
          <c:order val="7"/>
          <c:tx>
            <c:strRef>
              <c:f>'Партии (единый округ)'!$R$1</c:f>
              <c:strCache>
                <c:ptCount val="1"/>
                <c:pt idx="0">
                  <c:v>Недействительных</c:v>
                </c:pt>
              </c:strCache>
            </c:strRef>
          </c:tx>
          <c:spPr>
            <a:noFill/>
            <a:ln w="6350">
              <a:solidFill>
                <a:srgbClr val="000000"/>
              </a:solidFill>
            </a:ln>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округ)'!$R$2:$R$41</c:f>
              <c:numCache>
                <c:formatCode>0.0</c:formatCode>
                <c:ptCount val="39"/>
                <c:pt idx="0">
                  <c:v>5.6886227544910177</c:v>
                </c:pt>
                <c:pt idx="1">
                  <c:v>2.9535864978902953</c:v>
                </c:pt>
                <c:pt idx="2">
                  <c:v>5.1094890510948909</c:v>
                </c:pt>
                <c:pt idx="3">
                  <c:v>2.7649769585253456</c:v>
                </c:pt>
                <c:pt idx="4">
                  <c:v>1.5151515151515151</c:v>
                </c:pt>
                <c:pt idx="5">
                  <c:v>0</c:v>
                </c:pt>
                <c:pt idx="6">
                  <c:v>3.4482758620689653</c:v>
                </c:pt>
                <c:pt idx="7">
                  <c:v>7.8488372093023253</c:v>
                </c:pt>
                <c:pt idx="8">
                  <c:v>2.7874564459930316</c:v>
                </c:pt>
                <c:pt idx="9">
                  <c:v>4.2553191489361701</c:v>
                </c:pt>
                <c:pt idx="10">
                  <c:v>5.882352941176471</c:v>
                </c:pt>
                <c:pt idx="11">
                  <c:v>3.6414565826330532</c:v>
                </c:pt>
                <c:pt idx="12">
                  <c:v>1.6901408450704225</c:v>
                </c:pt>
                <c:pt idx="13">
                  <c:v>3.8690476190476191</c:v>
                </c:pt>
                <c:pt idx="14">
                  <c:v>4.9597855227882039</c:v>
                </c:pt>
                <c:pt idx="15">
                  <c:v>5.3452115812917596</c:v>
                </c:pt>
                <c:pt idx="16">
                  <c:v>0.67340067340067344</c:v>
                </c:pt>
                <c:pt idx="17">
                  <c:v>0.94339622641509435</c:v>
                </c:pt>
                <c:pt idx="18">
                  <c:v>3.3112582781456954</c:v>
                </c:pt>
                <c:pt idx="19">
                  <c:v>3.8095238095238093</c:v>
                </c:pt>
                <c:pt idx="20">
                  <c:v>2.5477707006369426</c:v>
                </c:pt>
                <c:pt idx="21">
                  <c:v>4.1152263374485596</c:v>
                </c:pt>
                <c:pt idx="22">
                  <c:v>4.1860465116279073</c:v>
                </c:pt>
                <c:pt idx="23">
                  <c:v>5.9523809523809526</c:v>
                </c:pt>
                <c:pt idx="24">
                  <c:v>5.4545454545454541</c:v>
                </c:pt>
                <c:pt idx="25">
                  <c:v>4.929577464788732</c:v>
                </c:pt>
                <c:pt idx="26">
                  <c:v>2.4630541871921183</c:v>
                </c:pt>
                <c:pt idx="27">
                  <c:v>2.6785714285714284</c:v>
                </c:pt>
                <c:pt idx="28">
                  <c:v>3.3898305084745761</c:v>
                </c:pt>
                <c:pt idx="29">
                  <c:v>6.2992125984251972</c:v>
                </c:pt>
                <c:pt idx="30">
                  <c:v>5.0086355785837648</c:v>
                </c:pt>
                <c:pt idx="31">
                  <c:v>2.9585798816568047</c:v>
                </c:pt>
                <c:pt idx="32">
                  <c:v>2.2988505747126435</c:v>
                </c:pt>
                <c:pt idx="33">
                  <c:v>0.86956521739130432</c:v>
                </c:pt>
                <c:pt idx="34">
                  <c:v>4.0441176470588234</c:v>
                </c:pt>
                <c:pt idx="35">
                  <c:v>3.4825870646766171</c:v>
                </c:pt>
                <c:pt idx="36">
                  <c:v>3.9735099337748343</c:v>
                </c:pt>
                <c:pt idx="37">
                  <c:v>3.8135593220338984</c:v>
                </c:pt>
                <c:pt idx="38">
                  <c:v>1.5810276679841897</c:v>
                </c:pt>
              </c:numCache>
            </c:numRef>
          </c:yVal>
          <c:bubbleSize>
            <c:numRef>
              <c:f>'Партии (единый округ)'!$E$2:$E$41</c:f>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0-DA14-4CA3-A295-ADA8A2EA9FFE}"/>
            </c:ext>
          </c:extLst>
        </c:ser>
        <c:ser>
          <c:idx val="1"/>
          <c:order val="8"/>
          <c:tx>
            <c:strRef>
              <c:f>'Партии (единый округ)'!$P$1</c:f>
              <c:strCache>
                <c:ptCount val="1"/>
                <c:pt idx="0">
                  <c:v>Надомка</c:v>
                </c:pt>
              </c:strCache>
            </c:strRef>
          </c:tx>
          <c:spPr>
            <a:noFill/>
            <a:ln w="6350" cmpd="sng">
              <a:solidFill>
                <a:srgbClr val="000000"/>
              </a:solidFill>
              <a:prstDash val="sysDot"/>
            </a:ln>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округ)'!$P$2:$P$41</c:f>
              <c:numCache>
                <c:formatCode>0.0</c:formatCode>
                <c:ptCount val="39"/>
                <c:pt idx="0">
                  <c:v>13.173652694610778</c:v>
                </c:pt>
                <c:pt idx="1">
                  <c:v>16.666666666666668</c:v>
                </c:pt>
                <c:pt idx="2">
                  <c:v>29.197080291970803</c:v>
                </c:pt>
                <c:pt idx="3">
                  <c:v>12.442396313364055</c:v>
                </c:pt>
                <c:pt idx="4">
                  <c:v>30.303030303030305</c:v>
                </c:pt>
                <c:pt idx="5">
                  <c:v>72.5</c:v>
                </c:pt>
                <c:pt idx="6">
                  <c:v>42.672413793103445</c:v>
                </c:pt>
                <c:pt idx="7">
                  <c:v>9.8837209302325579</c:v>
                </c:pt>
                <c:pt idx="8">
                  <c:v>19.16376306620209</c:v>
                </c:pt>
                <c:pt idx="9">
                  <c:v>14.184397163120567</c:v>
                </c:pt>
                <c:pt idx="10">
                  <c:v>3.1674208144796379</c:v>
                </c:pt>
                <c:pt idx="11">
                  <c:v>5.322128851540616</c:v>
                </c:pt>
                <c:pt idx="12">
                  <c:v>19.154929577464788</c:v>
                </c:pt>
                <c:pt idx="13">
                  <c:v>38.69047619047619</c:v>
                </c:pt>
                <c:pt idx="14">
                  <c:v>0.93833780160857905</c:v>
                </c:pt>
                <c:pt idx="15">
                  <c:v>3.1180400890868598</c:v>
                </c:pt>
                <c:pt idx="16">
                  <c:v>2.3569023569023568</c:v>
                </c:pt>
                <c:pt idx="17">
                  <c:v>4.9056603773584904</c:v>
                </c:pt>
                <c:pt idx="18">
                  <c:v>33.774834437086092</c:v>
                </c:pt>
                <c:pt idx="19">
                  <c:v>6.1904761904761907</c:v>
                </c:pt>
                <c:pt idx="20">
                  <c:v>17.197452229299362</c:v>
                </c:pt>
                <c:pt idx="21">
                  <c:v>6.1728395061728394</c:v>
                </c:pt>
                <c:pt idx="22">
                  <c:v>1.3953488372093024</c:v>
                </c:pt>
                <c:pt idx="23">
                  <c:v>2.3809523809523809</c:v>
                </c:pt>
                <c:pt idx="24">
                  <c:v>0.45454545454545453</c:v>
                </c:pt>
                <c:pt idx="25">
                  <c:v>3.051643192488263</c:v>
                </c:pt>
                <c:pt idx="26">
                  <c:v>3.4482758620689653</c:v>
                </c:pt>
                <c:pt idx="27">
                  <c:v>0.44642857142857145</c:v>
                </c:pt>
                <c:pt idx="28">
                  <c:v>3.87409200968523</c:v>
                </c:pt>
                <c:pt idx="29">
                  <c:v>1.1811023622047243</c:v>
                </c:pt>
                <c:pt idx="30">
                  <c:v>2.5906735751295336</c:v>
                </c:pt>
                <c:pt idx="31">
                  <c:v>19.526627218934912</c:v>
                </c:pt>
                <c:pt idx="32">
                  <c:v>29.310344827586206</c:v>
                </c:pt>
                <c:pt idx="33">
                  <c:v>28.695652173913043</c:v>
                </c:pt>
                <c:pt idx="34">
                  <c:v>33.455882352941174</c:v>
                </c:pt>
                <c:pt idx="35">
                  <c:v>28.35820895522388</c:v>
                </c:pt>
                <c:pt idx="36">
                  <c:v>23.178807947019866</c:v>
                </c:pt>
                <c:pt idx="37">
                  <c:v>12.711864406779661</c:v>
                </c:pt>
                <c:pt idx="38">
                  <c:v>8.695652173913043</c:v>
                </c:pt>
              </c:numCache>
            </c:numRef>
          </c:yVal>
          <c:bubbleSize>
            <c:numRef>
              <c:f>'Партии (единый округ)'!$E$2:$E$41</c:f>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1-DA14-4CA3-A295-ADA8A2EA9FFE}"/>
            </c:ext>
          </c:extLst>
        </c:ser>
        <c:ser>
          <c:idx val="16"/>
          <c:order val="9"/>
          <c:tx>
            <c:strRef>
              <c:f>'Партии (единый округ)'!$V$74</c:f>
              <c:strCache>
                <c:ptCount val="1"/>
                <c:pt idx="0">
                  <c:v>Вручную задано: ЕР без фальс. (%)</c:v>
                </c:pt>
              </c:strCache>
            </c:strRef>
          </c:tx>
          <c:spPr>
            <a:ln w="25400">
              <a:noFill/>
            </a:ln>
          </c:spPr>
          <c:invertIfNegative val="0"/>
          <c:errBars>
            <c:errDir val="x"/>
            <c:errBarType val="minus"/>
            <c:errValType val="percentage"/>
            <c:noEndCap val="1"/>
            <c:val val="100"/>
            <c:spPr>
              <a:ln w="6350">
                <a:solidFill>
                  <a:srgbClr val="0000FF">
                    <a:alpha val="50000"/>
                  </a:srgbClr>
                </a:solidFill>
              </a:ln>
            </c:spPr>
          </c:errBars>
          <c:xVal>
            <c:numLit>
              <c:formatCode>General</c:formatCode>
              <c:ptCount val="1"/>
              <c:pt idx="0">
                <c:v>100</c:v>
              </c:pt>
            </c:numLit>
          </c:xVal>
          <c:yVal>
            <c:numRef>
              <c:f>'Партии (единый округ)'!$V$75</c:f>
              <c:numCache>
                <c:formatCode>0.00</c:formatCode>
                <c:ptCount val="1"/>
                <c:pt idx="0">
                  <c:v>50.53</c:v>
                </c:pt>
              </c:numCache>
            </c:numRef>
          </c:yVal>
          <c:bubbleSize>
            <c:numLit>
              <c:formatCode>General</c:formatCode>
              <c:ptCount val="11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numLit>
          </c:bubbleSize>
          <c:bubble3D val="0"/>
          <c:extLst>
            <c:ext xmlns:c16="http://schemas.microsoft.com/office/drawing/2014/chart" uri="{C3380CC4-5D6E-409C-BE32-E72D297353CC}">
              <c16:uniqueId val="{00000000-58A2-4A44-B348-02F550067423}"/>
            </c:ext>
          </c:extLst>
        </c:ser>
        <c:ser>
          <c:idx val="17"/>
          <c:order val="10"/>
          <c:tx>
            <c:strRef>
              <c:f>'Партии (единый округ)'!$V$78</c:f>
              <c:strCache>
                <c:ptCount val="1"/>
                <c:pt idx="0">
                  <c:v>Макс. размер кружка</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'Партии (единый округ)'!$V$79</c:f>
              <c:numCache>
                <c:formatCode>General</c:formatCode>
                <c:ptCount val="1"/>
                <c:pt idx="0">
                  <c:v>5646</c:v>
                </c:pt>
              </c:numCache>
            </c:numRef>
          </c:bubbleSize>
          <c:bubble3D val="0"/>
          <c:extLst>
            <c:ext xmlns:c16="http://schemas.microsoft.com/office/drawing/2014/chart" uri="{C3380CC4-5D6E-409C-BE32-E72D297353CC}">
              <c16:uniqueId val="{00000000-EC0A-433D-BBBC-4C8F60D6E9DA}"/>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199353719030197"/>
          <c:y val="0.10071436375854764"/>
          <c:w val="0.16772242278379462"/>
          <c:h val="0.31708273749674287"/>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№8!$W$1</c:f>
              <c:strCache>
                <c:ptCount val="1"/>
                <c:pt idx="0">
                  <c:v>Борисов (СР)</c:v>
                </c:pt>
              </c:strCache>
            </c:strRef>
          </c:tx>
          <c:spPr>
            <a:solidFill>
              <a:srgbClr val="6666FF">
                <a:alpha val="50000"/>
              </a:srgbClr>
            </a:solidFill>
            <a:ln w="25400">
              <a:noFill/>
            </a:ln>
          </c:spPr>
          <c:invertIfNegative val="0"/>
          <c:xVal>
            <c:numRef>
              <c:f>№8!$J$2:$J$5</c:f>
              <c:numCache>
                <c:formatCode>0.0</c:formatCode>
                <c:ptCount val="3"/>
                <c:pt idx="0">
                  <c:v>13.212435233160623</c:v>
                </c:pt>
                <c:pt idx="1">
                  <c:v>14.340588988476313</c:v>
                </c:pt>
                <c:pt idx="2">
                  <c:v>23.163208076275939</c:v>
                </c:pt>
              </c:numCache>
            </c:numRef>
          </c:xVal>
          <c:yVal>
            <c:numRef>
              <c:f>№8!$W$2:$W$5</c:f>
              <c:numCache>
                <c:formatCode>0.0</c:formatCode>
                <c:ptCount val="3"/>
                <c:pt idx="0">
                  <c:v>10.344827586206897</c:v>
                </c:pt>
                <c:pt idx="1">
                  <c:v>14.732142857142858</c:v>
                </c:pt>
                <c:pt idx="2">
                  <c:v>6.5375302663438255</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0-3A3E-4620-A008-11A0C671DA14}"/>
            </c:ext>
          </c:extLst>
        </c:ser>
        <c:ser>
          <c:idx val="9"/>
          <c:order val="1"/>
          <c:tx>
            <c:strRef>
              <c:f>№8!$Y$1</c:f>
              <c:strCache>
                <c:ptCount val="1"/>
                <c:pt idx="0">
                  <c:v>Галетов</c:v>
                </c:pt>
              </c:strCache>
            </c:strRef>
          </c:tx>
          <c:spPr>
            <a:solidFill>
              <a:srgbClr val="000000">
                <a:alpha val="50000"/>
              </a:srgbClr>
            </a:solidFill>
            <a:ln w="25400"/>
          </c:spPr>
          <c:invertIfNegative val="0"/>
          <c:xVal>
            <c:numRef>
              <c:f>№8!$J$2:$J$5</c:f>
              <c:numCache>
                <c:formatCode>0.0</c:formatCode>
                <c:ptCount val="3"/>
                <c:pt idx="0">
                  <c:v>13.212435233160623</c:v>
                </c:pt>
                <c:pt idx="1">
                  <c:v>14.340588988476313</c:v>
                </c:pt>
                <c:pt idx="2">
                  <c:v>23.163208076275939</c:v>
                </c:pt>
              </c:numCache>
            </c:numRef>
          </c:xVal>
          <c:yVal>
            <c:numRef>
              <c:f>№8!$Y$2:$Y$5</c:f>
              <c:numCache>
                <c:formatCode>0.0</c:formatCode>
                <c:ptCount val="3"/>
                <c:pt idx="0">
                  <c:v>5.9113300492610836</c:v>
                </c:pt>
                <c:pt idx="1">
                  <c:v>8.0357142857142865</c:v>
                </c:pt>
                <c:pt idx="2">
                  <c:v>9.6852300242130749</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1-3A3E-4620-A008-11A0C671DA14}"/>
            </c:ext>
          </c:extLst>
        </c:ser>
        <c:ser>
          <c:idx val="10"/>
          <c:order val="2"/>
          <c:tx>
            <c:strRef>
              <c:f>№8!$AA$1</c:f>
              <c:strCache>
                <c:ptCount val="1"/>
                <c:pt idx="0">
                  <c:v>Григорьев (Новые люди)</c:v>
                </c:pt>
              </c:strCache>
            </c:strRef>
          </c:tx>
          <c:spPr>
            <a:solidFill>
              <a:srgbClr val="00FFFF">
                <a:alpha val="50000"/>
              </a:srgbClr>
            </a:solidFill>
            <a:ln w="25400">
              <a:noFill/>
            </a:ln>
            <a:effectLst/>
          </c:spPr>
          <c:invertIfNegative val="0"/>
          <c:xVal>
            <c:numRef>
              <c:f>№8!$J$2:$J$5</c:f>
              <c:numCache>
                <c:formatCode>0.0</c:formatCode>
                <c:ptCount val="3"/>
                <c:pt idx="0">
                  <c:v>13.212435233160623</c:v>
                </c:pt>
                <c:pt idx="1">
                  <c:v>14.340588988476313</c:v>
                </c:pt>
                <c:pt idx="2">
                  <c:v>23.163208076275939</c:v>
                </c:pt>
              </c:numCache>
            </c:numRef>
          </c:xVal>
          <c:yVal>
            <c:numRef>
              <c:f>№8!$AA$2:$AA$5</c:f>
              <c:numCache>
                <c:formatCode>0.0</c:formatCode>
                <c:ptCount val="3"/>
                <c:pt idx="0">
                  <c:v>1.9704433497536946</c:v>
                </c:pt>
                <c:pt idx="1">
                  <c:v>3.5714285714285716</c:v>
                </c:pt>
                <c:pt idx="2">
                  <c:v>1.4527845036319613</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2-3A3E-4620-A008-11A0C671DA14}"/>
            </c:ext>
          </c:extLst>
        </c:ser>
        <c:ser>
          <c:idx val="11"/>
          <c:order val="3"/>
          <c:tx>
            <c:strRef>
              <c:f>№8!$AC$1</c:f>
              <c:strCache>
                <c:ptCount val="1"/>
                <c:pt idx="0">
                  <c:v>Клюев (ЛДПР)</c:v>
                </c:pt>
              </c:strCache>
            </c:strRef>
          </c:tx>
          <c:spPr>
            <a:solidFill>
              <a:srgbClr val="FF9900">
                <a:alpha val="50000"/>
              </a:srgbClr>
            </a:solidFill>
            <a:ln w="25400">
              <a:noFill/>
            </a:ln>
            <a:effectLst/>
          </c:spPr>
          <c:invertIfNegative val="0"/>
          <c:xVal>
            <c:numRef>
              <c:f>№8!$J$2:$J$5</c:f>
              <c:numCache>
                <c:formatCode>0.0</c:formatCode>
                <c:ptCount val="3"/>
                <c:pt idx="0">
                  <c:v>13.212435233160623</c:v>
                </c:pt>
                <c:pt idx="1">
                  <c:v>14.340588988476313</c:v>
                </c:pt>
                <c:pt idx="2">
                  <c:v>23.163208076275939</c:v>
                </c:pt>
              </c:numCache>
            </c:numRef>
          </c:xVal>
          <c:yVal>
            <c:numRef>
              <c:f>№8!$AC$2:$AC$5</c:f>
              <c:numCache>
                <c:formatCode>0.0</c:formatCode>
                <c:ptCount val="3"/>
                <c:pt idx="0">
                  <c:v>4.4334975369458132</c:v>
                </c:pt>
                <c:pt idx="1">
                  <c:v>3.5714285714285716</c:v>
                </c:pt>
                <c:pt idx="2">
                  <c:v>1.2106537530266344</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3-3A3E-4620-A008-11A0C671DA14}"/>
            </c:ext>
          </c:extLst>
        </c:ser>
        <c:ser>
          <c:idx val="2"/>
          <c:order val="4"/>
          <c:tx>
            <c:strRef>
              <c:f>№8!$AE$1</c:f>
              <c:strCache>
                <c:ptCount val="1"/>
                <c:pt idx="0">
                  <c:v>Кухаренко (Родина)</c:v>
                </c:pt>
              </c:strCache>
            </c:strRef>
          </c:tx>
          <c:spPr>
            <a:solidFill>
              <a:srgbClr val="9900FF">
                <a:alpha val="50000"/>
              </a:srgbClr>
            </a:solidFill>
            <a:ln w="25400">
              <a:noFill/>
            </a:ln>
          </c:spPr>
          <c:invertIfNegative val="0"/>
          <c:xVal>
            <c:numRef>
              <c:f>№8!$J$2:$J$5</c:f>
              <c:numCache>
                <c:formatCode>0.0</c:formatCode>
                <c:ptCount val="3"/>
                <c:pt idx="0">
                  <c:v>13.212435233160623</c:v>
                </c:pt>
                <c:pt idx="1">
                  <c:v>14.340588988476313</c:v>
                </c:pt>
                <c:pt idx="2">
                  <c:v>23.163208076275939</c:v>
                </c:pt>
              </c:numCache>
            </c:numRef>
          </c:xVal>
          <c:yVal>
            <c:numRef>
              <c:f>№8!$AE$2:$AE$5</c:f>
              <c:numCache>
                <c:formatCode>0.0</c:formatCode>
                <c:ptCount val="3"/>
                <c:pt idx="0">
                  <c:v>0.49261083743842365</c:v>
                </c:pt>
                <c:pt idx="1">
                  <c:v>1.3392857142857142</c:v>
                </c:pt>
                <c:pt idx="2">
                  <c:v>0.72639225181598066</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4-3A3E-4620-A008-11A0C671DA14}"/>
            </c:ext>
          </c:extLst>
        </c:ser>
        <c:ser>
          <c:idx val="3"/>
          <c:order val="5"/>
          <c:tx>
            <c:strRef>
              <c:f>№8!$AG$1</c:f>
              <c:strCache>
                <c:ptCount val="1"/>
                <c:pt idx="0">
                  <c:v>Пичугина (пенсионеров)</c:v>
                </c:pt>
              </c:strCache>
            </c:strRef>
          </c:tx>
          <c:spPr>
            <a:solidFill>
              <a:srgbClr val="C89600">
                <a:alpha val="50000"/>
              </a:srgbClr>
            </a:solidFill>
            <a:ln w="25400">
              <a:noFill/>
            </a:ln>
          </c:spPr>
          <c:invertIfNegative val="0"/>
          <c:xVal>
            <c:numRef>
              <c:f>№8!$J$2:$J$5</c:f>
              <c:numCache>
                <c:formatCode>0.0</c:formatCode>
                <c:ptCount val="3"/>
                <c:pt idx="0">
                  <c:v>13.212435233160623</c:v>
                </c:pt>
                <c:pt idx="1">
                  <c:v>14.340588988476313</c:v>
                </c:pt>
                <c:pt idx="2">
                  <c:v>23.163208076275939</c:v>
                </c:pt>
              </c:numCache>
            </c:numRef>
          </c:xVal>
          <c:yVal>
            <c:numRef>
              <c:f>№8!$AG$2:$AG$5</c:f>
              <c:numCache>
                <c:formatCode>0.0</c:formatCode>
                <c:ptCount val="3"/>
                <c:pt idx="0">
                  <c:v>4.9261083743842367</c:v>
                </c:pt>
                <c:pt idx="1">
                  <c:v>6.25</c:v>
                </c:pt>
                <c:pt idx="2">
                  <c:v>3.87409200968523</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5-3A3E-4620-A008-11A0C671DA14}"/>
            </c:ext>
          </c:extLst>
        </c:ser>
        <c:ser>
          <c:idx val="12"/>
          <c:order val="6"/>
          <c:tx>
            <c:strRef>
              <c:f>№8!$AI$1</c:f>
              <c:strCache>
                <c:ptCount val="1"/>
                <c:pt idx="0">
                  <c:v>Слуцкий (ЕР)</c:v>
                </c:pt>
              </c:strCache>
            </c:strRef>
          </c:tx>
          <c:spPr>
            <a:solidFill>
              <a:srgbClr val="0000FF">
                <a:alpha val="50000"/>
              </a:srgbClr>
            </a:solidFill>
            <a:ln w="25400">
              <a:noFill/>
            </a:ln>
          </c:spPr>
          <c:invertIfNegative val="0"/>
          <c:xVal>
            <c:numRef>
              <c:f>№8!$J$2:$J$5</c:f>
              <c:numCache>
                <c:formatCode>0.0</c:formatCode>
                <c:ptCount val="3"/>
                <c:pt idx="0">
                  <c:v>13.212435233160623</c:v>
                </c:pt>
                <c:pt idx="1">
                  <c:v>14.340588988476313</c:v>
                </c:pt>
                <c:pt idx="2">
                  <c:v>23.163208076275939</c:v>
                </c:pt>
              </c:numCache>
            </c:numRef>
          </c:xVal>
          <c:yVal>
            <c:numRef>
              <c:f>№8!$AI$2:$AI$5</c:f>
              <c:numCache>
                <c:formatCode>0.0</c:formatCode>
                <c:ptCount val="3"/>
                <c:pt idx="0">
                  <c:v>62.561576354679801</c:v>
                </c:pt>
                <c:pt idx="1">
                  <c:v>58.482142857142854</c:v>
                </c:pt>
                <c:pt idx="2">
                  <c:v>71.670702179176757</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6-3A3E-4620-A008-11A0C671DA14}"/>
            </c:ext>
          </c:extLst>
        </c:ser>
        <c:ser>
          <c:idx val="13"/>
          <c:order val="7"/>
          <c:tx>
            <c:strRef>
              <c:f>№8!$AK$1</c:f>
              <c:strCache>
                <c:ptCount val="1"/>
                <c:pt idx="0">
                  <c:v>Якушева</c:v>
                </c:pt>
              </c:strCache>
            </c:strRef>
          </c:tx>
          <c:spPr>
            <a:solidFill>
              <a:srgbClr val="FF0000">
                <a:alpha val="50000"/>
              </a:srgbClr>
            </a:solidFill>
            <a:ln w="25400"/>
          </c:spPr>
          <c:invertIfNegative val="0"/>
          <c:xVal>
            <c:numRef>
              <c:f>№8!$J$2:$J$5</c:f>
              <c:numCache>
                <c:formatCode>0.0</c:formatCode>
                <c:ptCount val="3"/>
                <c:pt idx="0">
                  <c:v>13.212435233160623</c:v>
                </c:pt>
                <c:pt idx="1">
                  <c:v>14.340588988476313</c:v>
                </c:pt>
                <c:pt idx="2">
                  <c:v>23.163208076275939</c:v>
                </c:pt>
              </c:numCache>
            </c:numRef>
          </c:xVal>
          <c:yVal>
            <c:numRef>
              <c:f>№8!$AK$2:$AK$5</c:f>
              <c:numCache>
                <c:formatCode>0.0</c:formatCode>
                <c:ptCount val="3"/>
                <c:pt idx="0">
                  <c:v>4.9261083743842367</c:v>
                </c:pt>
                <c:pt idx="1">
                  <c:v>2.2321428571428572</c:v>
                </c:pt>
                <c:pt idx="2">
                  <c:v>1.2106537530266344</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7-3A3E-4620-A008-11A0C671DA14}"/>
            </c:ext>
          </c:extLst>
        </c:ser>
        <c:ser>
          <c:idx val="0"/>
          <c:order val="8"/>
          <c:tx>
            <c:strRef>
              <c:f>№8!$R$1</c:f>
              <c:strCache>
                <c:ptCount val="1"/>
                <c:pt idx="0">
                  <c:v>Недействительных</c:v>
                </c:pt>
              </c:strCache>
            </c:strRef>
          </c:tx>
          <c:spPr>
            <a:noFill/>
            <a:ln w="6350">
              <a:solidFill>
                <a:srgbClr val="000000"/>
              </a:solidFill>
            </a:ln>
          </c:spPr>
          <c:invertIfNegative val="0"/>
          <c:xVal>
            <c:numRef>
              <c:f>№8!$J$2:$J$5</c:f>
              <c:numCache>
                <c:formatCode>0.0</c:formatCode>
                <c:ptCount val="3"/>
                <c:pt idx="0">
                  <c:v>13.212435233160623</c:v>
                </c:pt>
                <c:pt idx="1">
                  <c:v>14.340588988476313</c:v>
                </c:pt>
                <c:pt idx="2">
                  <c:v>23.163208076275939</c:v>
                </c:pt>
              </c:numCache>
            </c:numRef>
          </c:xVal>
          <c:yVal>
            <c:numRef>
              <c:f>№8!$R$2:$R$5</c:f>
              <c:numCache>
                <c:formatCode>0.0</c:formatCode>
                <c:ptCount val="3"/>
                <c:pt idx="0">
                  <c:v>4.4334975369458132</c:v>
                </c:pt>
                <c:pt idx="1">
                  <c:v>1.7857142857142858</c:v>
                </c:pt>
                <c:pt idx="2">
                  <c:v>3.6319612590799033</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8-3A3E-4620-A008-11A0C671DA14}"/>
            </c:ext>
          </c:extLst>
        </c:ser>
        <c:ser>
          <c:idx val="1"/>
          <c:order val="9"/>
          <c:tx>
            <c:strRef>
              <c:f>№8!$P$1</c:f>
              <c:strCache>
                <c:ptCount val="1"/>
                <c:pt idx="0">
                  <c:v>Надомка</c:v>
                </c:pt>
              </c:strCache>
            </c:strRef>
          </c:tx>
          <c:spPr>
            <a:noFill/>
            <a:ln w="6350" cmpd="sng">
              <a:solidFill>
                <a:srgbClr val="000000"/>
              </a:solidFill>
              <a:prstDash val="sysDot"/>
            </a:ln>
          </c:spPr>
          <c:invertIfNegative val="0"/>
          <c:xVal>
            <c:numRef>
              <c:f>№8!$J$2:$J$5</c:f>
              <c:numCache>
                <c:formatCode>0.0</c:formatCode>
                <c:ptCount val="3"/>
                <c:pt idx="0">
                  <c:v>13.212435233160623</c:v>
                </c:pt>
                <c:pt idx="1">
                  <c:v>14.340588988476313</c:v>
                </c:pt>
                <c:pt idx="2">
                  <c:v>23.163208076275939</c:v>
                </c:pt>
              </c:numCache>
            </c:numRef>
          </c:xVal>
          <c:yVal>
            <c:numRef>
              <c:f>№8!$P$2:$P$5</c:f>
              <c:numCache>
                <c:formatCode>0.0</c:formatCode>
                <c:ptCount val="3"/>
                <c:pt idx="0">
                  <c:v>3.4482758620689653</c:v>
                </c:pt>
                <c:pt idx="1">
                  <c:v>0.44642857142857145</c:v>
                </c:pt>
                <c:pt idx="2">
                  <c:v>3.87409200968523</c:v>
                </c:pt>
              </c:numCache>
            </c:numRef>
          </c:yVal>
          <c:bubbleSize>
            <c:numRef>
              <c:f>№8!$E$2:$E$5</c:f>
              <c:numCache>
                <c:formatCode>General</c:formatCode>
                <c:ptCount val="3"/>
                <c:pt idx="0">
                  <c:v>1544</c:v>
                </c:pt>
                <c:pt idx="1">
                  <c:v>1562</c:v>
                </c:pt>
                <c:pt idx="2">
                  <c:v>1783</c:v>
                </c:pt>
              </c:numCache>
            </c:numRef>
          </c:bubbleSize>
          <c:bubble3D val="0"/>
          <c:extLst>
            <c:ext xmlns:c16="http://schemas.microsoft.com/office/drawing/2014/chart" uri="{C3380CC4-5D6E-409C-BE32-E72D297353CC}">
              <c16:uniqueId val="{00000009-3A3E-4620-A008-11A0C671DA14}"/>
            </c:ext>
          </c:extLst>
        </c:ser>
        <c:ser>
          <c:idx val="17"/>
          <c:order val="10"/>
          <c:tx>
            <c:strRef>
              <c:f>№8!$V$42</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№8!$V$43</c:f>
              <c:numCache>
                <c:formatCode>General</c:formatCode>
                <c:ptCount val="1"/>
                <c:pt idx="0">
                  <c:v>5646</c:v>
                </c:pt>
              </c:numCache>
            </c:numRef>
          </c:bubbleSize>
          <c:bubble3D val="0"/>
          <c:extLst>
            <c:ext xmlns:c16="http://schemas.microsoft.com/office/drawing/2014/chart" uri="{C3380CC4-5D6E-409C-BE32-E72D297353CC}">
              <c16:uniqueId val="{0000000A-3A3E-4620-A008-11A0C671DA14}"/>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454633898072059"/>
          <c:y val="0.1025620694536567"/>
          <c:w val="0.16224020216582116"/>
          <c:h val="0.34358000107370623"/>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№9!$W$1</c:f>
              <c:strCache>
                <c:ptCount val="1"/>
                <c:pt idx="0">
                  <c:v>Быковская (Родина)</c:v>
                </c:pt>
              </c:strCache>
            </c:strRef>
          </c:tx>
          <c:spPr>
            <a:solidFill>
              <a:srgbClr val="9900FF">
                <a:alpha val="50000"/>
              </a:srgbClr>
            </a:solidFill>
            <a:ln w="25400">
              <a:noFill/>
            </a:ln>
          </c:spPr>
          <c:invertIfNegative val="0"/>
          <c:xVal>
            <c:numRef>
              <c:f>№9!$J$2:$J$6</c:f>
              <c:numCache>
                <c:formatCode>0.0</c:formatCode>
                <c:ptCount val="4"/>
                <c:pt idx="0">
                  <c:v>22.086956521739129</c:v>
                </c:pt>
                <c:pt idx="1">
                  <c:v>20.510095642933049</c:v>
                </c:pt>
                <c:pt idx="2">
                  <c:v>19.76608187134503</c:v>
                </c:pt>
                <c:pt idx="3">
                  <c:v>22.538860103626941</c:v>
                </c:pt>
              </c:numCache>
            </c:numRef>
          </c:xVal>
          <c:yVal>
            <c:numRef>
              <c:f>№9!$W$2:$W$6</c:f>
              <c:numCache>
                <c:formatCode>0.0</c:formatCode>
                <c:ptCount val="4"/>
                <c:pt idx="0">
                  <c:v>2.7559055118110236</c:v>
                </c:pt>
                <c:pt idx="1">
                  <c:v>2.245250431778929</c:v>
                </c:pt>
                <c:pt idx="2">
                  <c:v>1.7751479289940828</c:v>
                </c:pt>
                <c:pt idx="3">
                  <c:v>4.5977011494252871</c:v>
                </c:pt>
              </c:numCache>
            </c:numRef>
          </c:yVal>
          <c:bubbleSize>
            <c:numRef>
              <c:f>№9!$E$2:$E$6</c:f>
              <c:numCache>
                <c:formatCode>General</c:formatCode>
                <c:ptCount val="4"/>
                <c:pt idx="0">
                  <c:v>1150</c:v>
                </c:pt>
                <c:pt idx="1">
                  <c:v>2823</c:v>
                </c:pt>
                <c:pt idx="2">
                  <c:v>855</c:v>
                </c:pt>
                <c:pt idx="3">
                  <c:v>772</c:v>
                </c:pt>
              </c:numCache>
            </c:numRef>
          </c:bubbleSize>
          <c:bubble3D val="0"/>
          <c:extLst>
            <c:ext xmlns:c16="http://schemas.microsoft.com/office/drawing/2014/chart" uri="{C3380CC4-5D6E-409C-BE32-E72D297353CC}">
              <c16:uniqueId val="{00000000-856C-4FD7-BBD8-798E8C819B71}"/>
            </c:ext>
          </c:extLst>
        </c:ser>
        <c:ser>
          <c:idx val="9"/>
          <c:order val="1"/>
          <c:tx>
            <c:strRef>
              <c:f>№9!$Y$1</c:f>
              <c:strCache>
                <c:ptCount val="1"/>
                <c:pt idx="0">
                  <c:v>Егорова</c:v>
                </c:pt>
              </c:strCache>
            </c:strRef>
          </c:tx>
          <c:spPr>
            <a:solidFill>
              <a:srgbClr val="000000">
                <a:alpha val="50000"/>
              </a:srgbClr>
            </a:solidFill>
            <a:ln w="25400"/>
          </c:spPr>
          <c:invertIfNegative val="0"/>
          <c:xVal>
            <c:numRef>
              <c:f>№9!$J$2:$J$6</c:f>
              <c:numCache>
                <c:formatCode>0.0</c:formatCode>
                <c:ptCount val="4"/>
                <c:pt idx="0">
                  <c:v>22.086956521739129</c:v>
                </c:pt>
                <c:pt idx="1">
                  <c:v>20.510095642933049</c:v>
                </c:pt>
                <c:pt idx="2">
                  <c:v>19.76608187134503</c:v>
                </c:pt>
                <c:pt idx="3">
                  <c:v>22.538860103626941</c:v>
                </c:pt>
              </c:numCache>
            </c:numRef>
          </c:xVal>
          <c:yVal>
            <c:numRef>
              <c:f>№9!$Y$2:$Y$6</c:f>
              <c:numCache>
                <c:formatCode>0.0</c:formatCode>
                <c:ptCount val="4"/>
                <c:pt idx="0">
                  <c:v>1.5748031496062993</c:v>
                </c:pt>
                <c:pt idx="1">
                  <c:v>2.4179620034542313</c:v>
                </c:pt>
                <c:pt idx="2">
                  <c:v>1.7751479289940828</c:v>
                </c:pt>
                <c:pt idx="3">
                  <c:v>5.1724137931034484</c:v>
                </c:pt>
              </c:numCache>
            </c:numRef>
          </c:yVal>
          <c:bubbleSize>
            <c:numRef>
              <c:f>№9!$E$2:$E$6</c:f>
              <c:numCache>
                <c:formatCode>General</c:formatCode>
                <c:ptCount val="4"/>
                <c:pt idx="0">
                  <c:v>1150</c:v>
                </c:pt>
                <c:pt idx="1">
                  <c:v>2823</c:v>
                </c:pt>
                <c:pt idx="2">
                  <c:v>855</c:v>
                </c:pt>
                <c:pt idx="3">
                  <c:v>772</c:v>
                </c:pt>
              </c:numCache>
            </c:numRef>
          </c:bubbleSize>
          <c:bubble3D val="0"/>
          <c:extLst>
            <c:ext xmlns:c16="http://schemas.microsoft.com/office/drawing/2014/chart" uri="{C3380CC4-5D6E-409C-BE32-E72D297353CC}">
              <c16:uniqueId val="{00000001-856C-4FD7-BBD8-798E8C819B71}"/>
            </c:ext>
          </c:extLst>
        </c:ser>
        <c:ser>
          <c:idx val="10"/>
          <c:order val="2"/>
          <c:tx>
            <c:strRef>
              <c:f>№9!$AA$1</c:f>
              <c:strCache>
                <c:ptCount val="1"/>
                <c:pt idx="0">
                  <c:v>Клюева (ЛДПР)</c:v>
                </c:pt>
              </c:strCache>
            </c:strRef>
          </c:tx>
          <c:spPr>
            <a:solidFill>
              <a:srgbClr val="FF9900">
                <a:alpha val="50000"/>
              </a:srgbClr>
            </a:solidFill>
            <a:ln w="25400">
              <a:noFill/>
            </a:ln>
            <a:effectLst/>
          </c:spPr>
          <c:invertIfNegative val="0"/>
          <c:xVal>
            <c:numRef>
              <c:f>№9!$J$2:$J$6</c:f>
              <c:numCache>
                <c:formatCode>0.0</c:formatCode>
                <c:ptCount val="4"/>
                <c:pt idx="0">
                  <c:v>22.086956521739129</c:v>
                </c:pt>
                <c:pt idx="1">
                  <c:v>20.510095642933049</c:v>
                </c:pt>
                <c:pt idx="2">
                  <c:v>19.76608187134503</c:v>
                </c:pt>
                <c:pt idx="3">
                  <c:v>22.538860103626941</c:v>
                </c:pt>
              </c:numCache>
            </c:numRef>
          </c:xVal>
          <c:yVal>
            <c:numRef>
              <c:f>№9!$AA$2:$AA$6</c:f>
              <c:numCache>
                <c:formatCode>0.0</c:formatCode>
                <c:ptCount val="4"/>
                <c:pt idx="0">
                  <c:v>2.3622047244094486</c:v>
                </c:pt>
                <c:pt idx="1">
                  <c:v>3.4542314335060449</c:v>
                </c:pt>
                <c:pt idx="2">
                  <c:v>3.5502958579881656</c:v>
                </c:pt>
                <c:pt idx="3">
                  <c:v>4.0229885057471266</c:v>
                </c:pt>
              </c:numCache>
            </c:numRef>
          </c:yVal>
          <c:bubbleSize>
            <c:numRef>
              <c:f>№9!$E$2:$E$6</c:f>
              <c:numCache>
                <c:formatCode>General</c:formatCode>
                <c:ptCount val="4"/>
                <c:pt idx="0">
                  <c:v>1150</c:v>
                </c:pt>
                <c:pt idx="1">
                  <c:v>2823</c:v>
                </c:pt>
                <c:pt idx="2">
                  <c:v>855</c:v>
                </c:pt>
                <c:pt idx="3">
                  <c:v>772</c:v>
                </c:pt>
              </c:numCache>
            </c:numRef>
          </c:bubbleSize>
          <c:bubble3D val="0"/>
          <c:extLst>
            <c:ext xmlns:c16="http://schemas.microsoft.com/office/drawing/2014/chart" uri="{C3380CC4-5D6E-409C-BE32-E72D297353CC}">
              <c16:uniqueId val="{00000002-856C-4FD7-BBD8-798E8C819B71}"/>
            </c:ext>
          </c:extLst>
        </c:ser>
        <c:ser>
          <c:idx val="11"/>
          <c:order val="3"/>
          <c:tx>
            <c:strRef>
              <c:f>№9!$AC$1</c:f>
              <c:strCache>
                <c:ptCount val="1"/>
                <c:pt idx="0">
                  <c:v>Кучарина (ЕР)</c:v>
                </c:pt>
              </c:strCache>
            </c:strRef>
          </c:tx>
          <c:spPr>
            <a:solidFill>
              <a:srgbClr val="0000FF">
                <a:alpha val="50000"/>
              </a:srgbClr>
            </a:solidFill>
            <a:ln w="25400">
              <a:noFill/>
            </a:ln>
            <a:effectLst/>
          </c:spPr>
          <c:invertIfNegative val="0"/>
          <c:xVal>
            <c:numRef>
              <c:f>№9!$J$2:$J$6</c:f>
              <c:numCache>
                <c:formatCode>0.0</c:formatCode>
                <c:ptCount val="4"/>
                <c:pt idx="0">
                  <c:v>22.086956521739129</c:v>
                </c:pt>
                <c:pt idx="1">
                  <c:v>20.510095642933049</c:v>
                </c:pt>
                <c:pt idx="2">
                  <c:v>19.76608187134503</c:v>
                </c:pt>
                <c:pt idx="3">
                  <c:v>22.538860103626941</c:v>
                </c:pt>
              </c:numCache>
            </c:numRef>
          </c:xVal>
          <c:yVal>
            <c:numRef>
              <c:f>№9!$AC$2:$AC$6</c:f>
              <c:numCache>
                <c:formatCode>0.0</c:formatCode>
                <c:ptCount val="4"/>
                <c:pt idx="0">
                  <c:v>72.047244094488192</c:v>
                </c:pt>
                <c:pt idx="1">
                  <c:v>70.639032815198618</c:v>
                </c:pt>
                <c:pt idx="2">
                  <c:v>72.781065088757401</c:v>
                </c:pt>
                <c:pt idx="3">
                  <c:v>55.747126436781606</c:v>
                </c:pt>
              </c:numCache>
            </c:numRef>
          </c:yVal>
          <c:bubbleSize>
            <c:numRef>
              <c:f>№9!$E$2:$E$6</c:f>
              <c:numCache>
                <c:formatCode>General</c:formatCode>
                <c:ptCount val="4"/>
                <c:pt idx="0">
                  <c:v>1150</c:v>
                </c:pt>
                <c:pt idx="1">
                  <c:v>2823</c:v>
                </c:pt>
                <c:pt idx="2">
                  <c:v>855</c:v>
                </c:pt>
                <c:pt idx="3">
                  <c:v>772</c:v>
                </c:pt>
              </c:numCache>
            </c:numRef>
          </c:bubbleSize>
          <c:bubble3D val="0"/>
          <c:extLst>
            <c:ext xmlns:c16="http://schemas.microsoft.com/office/drawing/2014/chart" uri="{C3380CC4-5D6E-409C-BE32-E72D297353CC}">
              <c16:uniqueId val="{00000003-856C-4FD7-BBD8-798E8C819B71}"/>
            </c:ext>
          </c:extLst>
        </c:ser>
        <c:ser>
          <c:idx val="2"/>
          <c:order val="4"/>
          <c:tx>
            <c:strRef>
              <c:f>№9!$AE$1</c:f>
              <c:strCache>
                <c:ptCount val="1"/>
                <c:pt idx="0">
                  <c:v>Милютина (пенсионеров)</c:v>
                </c:pt>
              </c:strCache>
            </c:strRef>
          </c:tx>
          <c:spPr>
            <a:solidFill>
              <a:srgbClr val="C89600">
                <a:alpha val="50000"/>
              </a:srgbClr>
            </a:solidFill>
            <a:ln w="25400">
              <a:noFill/>
            </a:ln>
          </c:spPr>
          <c:invertIfNegative val="0"/>
          <c:xVal>
            <c:numRef>
              <c:f>№9!$J$2:$J$6</c:f>
              <c:numCache>
                <c:formatCode>0.0</c:formatCode>
                <c:ptCount val="4"/>
                <c:pt idx="0">
                  <c:v>22.086956521739129</c:v>
                </c:pt>
                <c:pt idx="1">
                  <c:v>20.510095642933049</c:v>
                </c:pt>
                <c:pt idx="2">
                  <c:v>19.76608187134503</c:v>
                </c:pt>
                <c:pt idx="3">
                  <c:v>22.538860103626941</c:v>
                </c:pt>
              </c:numCache>
            </c:numRef>
          </c:xVal>
          <c:yVal>
            <c:numRef>
              <c:f>№9!$AE$2:$AE$6</c:f>
              <c:numCache>
                <c:formatCode>0.0</c:formatCode>
                <c:ptCount val="4"/>
                <c:pt idx="0">
                  <c:v>1.9685039370078741</c:v>
                </c:pt>
                <c:pt idx="1">
                  <c:v>3.7996545768566494</c:v>
                </c:pt>
                <c:pt idx="2">
                  <c:v>5.3254437869822482</c:v>
                </c:pt>
                <c:pt idx="3">
                  <c:v>4.0229885057471266</c:v>
                </c:pt>
              </c:numCache>
            </c:numRef>
          </c:yVal>
          <c:bubbleSize>
            <c:numRef>
              <c:f>№9!$E$2:$E$6</c:f>
              <c:numCache>
                <c:formatCode>General</c:formatCode>
                <c:ptCount val="4"/>
                <c:pt idx="0">
                  <c:v>1150</c:v>
                </c:pt>
                <c:pt idx="1">
                  <c:v>2823</c:v>
                </c:pt>
                <c:pt idx="2">
                  <c:v>855</c:v>
                </c:pt>
                <c:pt idx="3">
                  <c:v>772</c:v>
                </c:pt>
              </c:numCache>
            </c:numRef>
          </c:bubbleSize>
          <c:bubble3D val="0"/>
          <c:extLst>
            <c:ext xmlns:c16="http://schemas.microsoft.com/office/drawing/2014/chart" uri="{C3380CC4-5D6E-409C-BE32-E72D297353CC}">
              <c16:uniqueId val="{00000004-856C-4FD7-BBD8-798E8C819B71}"/>
            </c:ext>
          </c:extLst>
        </c:ser>
        <c:ser>
          <c:idx val="3"/>
          <c:order val="5"/>
          <c:tx>
            <c:strRef>
              <c:f>№9!$AG$1</c:f>
              <c:strCache>
                <c:ptCount val="1"/>
                <c:pt idx="0">
                  <c:v>Рогова</c:v>
                </c:pt>
              </c:strCache>
            </c:strRef>
          </c:tx>
          <c:spPr>
            <a:solidFill>
              <a:srgbClr val="FF0000">
                <a:alpha val="50000"/>
              </a:srgbClr>
            </a:solidFill>
            <a:ln w="25400">
              <a:noFill/>
            </a:ln>
          </c:spPr>
          <c:invertIfNegative val="0"/>
          <c:xVal>
            <c:numRef>
              <c:f>№9!$J$2:$J$6</c:f>
              <c:numCache>
                <c:formatCode>0.0</c:formatCode>
                <c:ptCount val="4"/>
                <c:pt idx="0">
                  <c:v>22.086956521739129</c:v>
                </c:pt>
                <c:pt idx="1">
                  <c:v>20.510095642933049</c:v>
                </c:pt>
                <c:pt idx="2">
                  <c:v>19.76608187134503</c:v>
                </c:pt>
                <c:pt idx="3">
                  <c:v>22.538860103626941</c:v>
                </c:pt>
              </c:numCache>
            </c:numRef>
          </c:xVal>
          <c:yVal>
            <c:numRef>
              <c:f>№9!$AG$2:$AG$6</c:f>
              <c:numCache>
                <c:formatCode>0.0</c:formatCode>
                <c:ptCount val="4"/>
                <c:pt idx="0">
                  <c:v>3.1496062992125986</c:v>
                </c:pt>
                <c:pt idx="1">
                  <c:v>7.4265975820379966</c:v>
                </c:pt>
                <c:pt idx="2">
                  <c:v>1.7751479289940828</c:v>
                </c:pt>
                <c:pt idx="3">
                  <c:v>5.7471264367816088</c:v>
                </c:pt>
              </c:numCache>
            </c:numRef>
          </c:yVal>
          <c:bubbleSize>
            <c:numRef>
              <c:f>№9!$E$2:$E$6</c:f>
              <c:numCache>
                <c:formatCode>General</c:formatCode>
                <c:ptCount val="4"/>
                <c:pt idx="0">
                  <c:v>1150</c:v>
                </c:pt>
                <c:pt idx="1">
                  <c:v>2823</c:v>
                </c:pt>
                <c:pt idx="2">
                  <c:v>855</c:v>
                </c:pt>
                <c:pt idx="3">
                  <c:v>772</c:v>
                </c:pt>
              </c:numCache>
            </c:numRef>
          </c:bubbleSize>
          <c:bubble3D val="0"/>
          <c:extLst>
            <c:ext xmlns:c16="http://schemas.microsoft.com/office/drawing/2014/chart" uri="{C3380CC4-5D6E-409C-BE32-E72D297353CC}">
              <c16:uniqueId val="{00000005-856C-4FD7-BBD8-798E8C819B71}"/>
            </c:ext>
          </c:extLst>
        </c:ser>
        <c:ser>
          <c:idx val="12"/>
          <c:order val="6"/>
          <c:tx>
            <c:strRef>
              <c:f>№9!$AI$1</c:f>
              <c:strCache>
                <c:ptCount val="1"/>
                <c:pt idx="0">
                  <c:v>Сиваков (СР)</c:v>
                </c:pt>
              </c:strCache>
            </c:strRef>
          </c:tx>
          <c:spPr>
            <a:solidFill>
              <a:srgbClr val="6666FF">
                <a:alpha val="50000"/>
              </a:srgbClr>
            </a:solidFill>
            <a:ln w="25400">
              <a:noFill/>
            </a:ln>
          </c:spPr>
          <c:invertIfNegative val="0"/>
          <c:xVal>
            <c:numRef>
              <c:f>№9!$J$2:$J$6</c:f>
              <c:numCache>
                <c:formatCode>0.0</c:formatCode>
                <c:ptCount val="4"/>
                <c:pt idx="0">
                  <c:v>22.086956521739129</c:v>
                </c:pt>
                <c:pt idx="1">
                  <c:v>20.510095642933049</c:v>
                </c:pt>
                <c:pt idx="2">
                  <c:v>19.76608187134503</c:v>
                </c:pt>
                <c:pt idx="3">
                  <c:v>22.538860103626941</c:v>
                </c:pt>
              </c:numCache>
            </c:numRef>
          </c:xVal>
          <c:yVal>
            <c:numRef>
              <c:f>№9!$AI$2:$AI$6</c:f>
              <c:numCache>
                <c:formatCode>0.0</c:formatCode>
                <c:ptCount val="4"/>
                <c:pt idx="0">
                  <c:v>12.992125984251969</c:v>
                </c:pt>
                <c:pt idx="1">
                  <c:v>5.6994818652849739</c:v>
                </c:pt>
                <c:pt idx="2">
                  <c:v>11.834319526627219</c:v>
                </c:pt>
                <c:pt idx="3">
                  <c:v>16.666666666666668</c:v>
                </c:pt>
              </c:numCache>
            </c:numRef>
          </c:yVal>
          <c:bubbleSize>
            <c:numRef>
              <c:f>№9!$E$2:$E$6</c:f>
              <c:numCache>
                <c:formatCode>General</c:formatCode>
                <c:ptCount val="4"/>
                <c:pt idx="0">
                  <c:v>1150</c:v>
                </c:pt>
                <c:pt idx="1">
                  <c:v>2823</c:v>
                </c:pt>
                <c:pt idx="2">
                  <c:v>855</c:v>
                </c:pt>
                <c:pt idx="3">
                  <c:v>772</c:v>
                </c:pt>
              </c:numCache>
            </c:numRef>
          </c:bubbleSize>
          <c:bubble3D val="0"/>
          <c:extLst>
            <c:ext xmlns:c16="http://schemas.microsoft.com/office/drawing/2014/chart" uri="{C3380CC4-5D6E-409C-BE32-E72D297353CC}">
              <c16:uniqueId val="{00000006-856C-4FD7-BBD8-798E8C819B71}"/>
            </c:ext>
          </c:extLst>
        </c:ser>
        <c:ser>
          <c:idx val="0"/>
          <c:order val="7"/>
          <c:tx>
            <c:strRef>
              <c:f>№9!$R$1</c:f>
              <c:strCache>
                <c:ptCount val="1"/>
                <c:pt idx="0">
                  <c:v>Недействительных</c:v>
                </c:pt>
              </c:strCache>
            </c:strRef>
          </c:tx>
          <c:spPr>
            <a:noFill/>
            <a:ln w="6350">
              <a:solidFill>
                <a:srgbClr val="000000"/>
              </a:solidFill>
            </a:ln>
          </c:spPr>
          <c:invertIfNegative val="0"/>
          <c:xVal>
            <c:numRef>
              <c:f>№9!$J$2:$J$6</c:f>
              <c:numCache>
                <c:formatCode>0.0</c:formatCode>
                <c:ptCount val="4"/>
                <c:pt idx="0">
                  <c:v>22.086956521739129</c:v>
                </c:pt>
                <c:pt idx="1">
                  <c:v>20.510095642933049</c:v>
                </c:pt>
                <c:pt idx="2">
                  <c:v>19.76608187134503</c:v>
                </c:pt>
                <c:pt idx="3">
                  <c:v>22.538860103626941</c:v>
                </c:pt>
              </c:numCache>
            </c:numRef>
          </c:xVal>
          <c:yVal>
            <c:numRef>
              <c:f>№9!$R$2:$R$6</c:f>
              <c:numCache>
                <c:formatCode>0.0</c:formatCode>
                <c:ptCount val="4"/>
                <c:pt idx="0">
                  <c:v>3.1496062992125986</c:v>
                </c:pt>
                <c:pt idx="1">
                  <c:v>4.3177892918825558</c:v>
                </c:pt>
                <c:pt idx="2">
                  <c:v>1.1834319526627219</c:v>
                </c:pt>
                <c:pt idx="3">
                  <c:v>4.0229885057471266</c:v>
                </c:pt>
              </c:numCache>
            </c:numRef>
          </c:yVal>
          <c:bubbleSize>
            <c:numRef>
              <c:f>№9!$E$2:$E$6</c:f>
              <c:numCache>
                <c:formatCode>General</c:formatCode>
                <c:ptCount val="4"/>
                <c:pt idx="0">
                  <c:v>1150</c:v>
                </c:pt>
                <c:pt idx="1">
                  <c:v>2823</c:v>
                </c:pt>
                <c:pt idx="2">
                  <c:v>855</c:v>
                </c:pt>
                <c:pt idx="3">
                  <c:v>772</c:v>
                </c:pt>
              </c:numCache>
            </c:numRef>
          </c:bubbleSize>
          <c:bubble3D val="0"/>
          <c:extLst>
            <c:ext xmlns:c16="http://schemas.microsoft.com/office/drawing/2014/chart" uri="{C3380CC4-5D6E-409C-BE32-E72D297353CC}">
              <c16:uniqueId val="{00000008-856C-4FD7-BBD8-798E8C819B71}"/>
            </c:ext>
          </c:extLst>
        </c:ser>
        <c:ser>
          <c:idx val="1"/>
          <c:order val="8"/>
          <c:tx>
            <c:strRef>
              <c:f>№9!$P$1</c:f>
              <c:strCache>
                <c:ptCount val="1"/>
                <c:pt idx="0">
                  <c:v>Надомка</c:v>
                </c:pt>
              </c:strCache>
            </c:strRef>
          </c:tx>
          <c:spPr>
            <a:noFill/>
            <a:ln w="6350" cmpd="sng">
              <a:solidFill>
                <a:srgbClr val="000000"/>
              </a:solidFill>
              <a:prstDash val="sysDot"/>
            </a:ln>
          </c:spPr>
          <c:invertIfNegative val="0"/>
          <c:xVal>
            <c:numRef>
              <c:f>№9!$J$2:$J$6</c:f>
              <c:numCache>
                <c:formatCode>0.0</c:formatCode>
                <c:ptCount val="4"/>
                <c:pt idx="0">
                  <c:v>22.086956521739129</c:v>
                </c:pt>
                <c:pt idx="1">
                  <c:v>20.510095642933049</c:v>
                </c:pt>
                <c:pt idx="2">
                  <c:v>19.76608187134503</c:v>
                </c:pt>
                <c:pt idx="3">
                  <c:v>22.538860103626941</c:v>
                </c:pt>
              </c:numCache>
            </c:numRef>
          </c:xVal>
          <c:yVal>
            <c:numRef>
              <c:f>№9!$P$2:$P$6</c:f>
              <c:numCache>
                <c:formatCode>0.0</c:formatCode>
                <c:ptCount val="4"/>
                <c:pt idx="0">
                  <c:v>1.1811023622047243</c:v>
                </c:pt>
                <c:pt idx="1">
                  <c:v>2.5906735751295336</c:v>
                </c:pt>
                <c:pt idx="2">
                  <c:v>19.526627218934912</c:v>
                </c:pt>
                <c:pt idx="3">
                  <c:v>29.310344827586206</c:v>
                </c:pt>
              </c:numCache>
            </c:numRef>
          </c:yVal>
          <c:bubbleSize>
            <c:numRef>
              <c:f>№9!$E$2:$E$6</c:f>
              <c:numCache>
                <c:formatCode>General</c:formatCode>
                <c:ptCount val="4"/>
                <c:pt idx="0">
                  <c:v>1150</c:v>
                </c:pt>
                <c:pt idx="1">
                  <c:v>2823</c:v>
                </c:pt>
                <c:pt idx="2">
                  <c:v>855</c:v>
                </c:pt>
                <c:pt idx="3">
                  <c:v>772</c:v>
                </c:pt>
              </c:numCache>
            </c:numRef>
          </c:bubbleSize>
          <c:bubble3D val="0"/>
          <c:extLst>
            <c:ext xmlns:c16="http://schemas.microsoft.com/office/drawing/2014/chart" uri="{C3380CC4-5D6E-409C-BE32-E72D297353CC}">
              <c16:uniqueId val="{00000009-856C-4FD7-BBD8-798E8C819B71}"/>
            </c:ext>
          </c:extLst>
        </c:ser>
        <c:ser>
          <c:idx val="17"/>
          <c:order val="9"/>
          <c:tx>
            <c:strRef>
              <c:f>№9!$V$43</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№9!$V$44</c:f>
              <c:numCache>
                <c:formatCode>General</c:formatCode>
                <c:ptCount val="1"/>
                <c:pt idx="0">
                  <c:v>5646</c:v>
                </c:pt>
              </c:numCache>
            </c:numRef>
          </c:bubbleSize>
          <c:bubble3D val="0"/>
          <c:extLst>
            <c:ext xmlns:c16="http://schemas.microsoft.com/office/drawing/2014/chart" uri="{C3380CC4-5D6E-409C-BE32-E72D297353CC}">
              <c16:uniqueId val="{0000000A-856C-4FD7-BBD8-798E8C819B71}"/>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454633898072059"/>
          <c:y val="0.1025620694536567"/>
          <c:w val="0.16224020216582116"/>
          <c:h val="0.32325523842750642"/>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№10!$W$1</c:f>
              <c:strCache>
                <c:ptCount val="1"/>
                <c:pt idx="0">
                  <c:v>Вершинин (пенсионеров)</c:v>
                </c:pt>
              </c:strCache>
            </c:strRef>
          </c:tx>
          <c:spPr>
            <a:solidFill>
              <a:srgbClr val="C89600">
                <a:alpha val="50000"/>
              </a:srgbClr>
            </a:solidFill>
            <a:ln w="25400">
              <a:noFill/>
            </a:ln>
          </c:spPr>
          <c:invertIfNegative val="0"/>
          <c:xVal>
            <c:numRef>
              <c:f>№10!$J$2:$J$8</c:f>
              <c:numCache>
                <c:formatCode>0.0</c:formatCode>
                <c:ptCount val="6"/>
                <c:pt idx="0">
                  <c:v>27.980535279805352</c:v>
                </c:pt>
                <c:pt idx="1">
                  <c:v>22.460776218001651</c:v>
                </c:pt>
                <c:pt idx="2">
                  <c:v>18.837863167760077</c:v>
                </c:pt>
                <c:pt idx="3">
                  <c:v>20.682593856655291</c:v>
                </c:pt>
                <c:pt idx="4">
                  <c:v>24.032586558044805</c:v>
                </c:pt>
                <c:pt idx="5">
                  <c:v>56.473214285714285</c:v>
                </c:pt>
              </c:numCache>
            </c:numRef>
          </c:xVal>
          <c:yVal>
            <c:numRef>
              <c:f>№10!$W$2:$W$8</c:f>
              <c:numCache>
                <c:formatCode>0.0</c:formatCode>
                <c:ptCount val="6"/>
                <c:pt idx="0">
                  <c:v>13.043478260869565</c:v>
                </c:pt>
                <c:pt idx="1">
                  <c:v>7.3529411764705879</c:v>
                </c:pt>
                <c:pt idx="2">
                  <c:v>6.9651741293532341</c:v>
                </c:pt>
                <c:pt idx="3">
                  <c:v>7.6158940397350996</c:v>
                </c:pt>
                <c:pt idx="4">
                  <c:v>8.898305084745763</c:v>
                </c:pt>
                <c:pt idx="5">
                  <c:v>1.9762845849802371</c:v>
                </c:pt>
              </c:numCache>
            </c:numRef>
          </c:yVal>
          <c:bubbleSize>
            <c:numRef>
              <c:f>№10!$E$2:$E$8</c:f>
              <c:numCache>
                <c:formatCode>General</c:formatCode>
                <c:ptCount val="6"/>
                <c:pt idx="0">
                  <c:v>411</c:v>
                </c:pt>
                <c:pt idx="1">
                  <c:v>1211</c:v>
                </c:pt>
                <c:pt idx="2">
                  <c:v>1067</c:v>
                </c:pt>
                <c:pt idx="3">
                  <c:v>1465</c:v>
                </c:pt>
                <c:pt idx="4">
                  <c:v>982</c:v>
                </c:pt>
                <c:pt idx="5">
                  <c:v>448</c:v>
                </c:pt>
              </c:numCache>
            </c:numRef>
          </c:bubbleSize>
          <c:bubble3D val="0"/>
          <c:extLst>
            <c:ext xmlns:c16="http://schemas.microsoft.com/office/drawing/2014/chart" uri="{C3380CC4-5D6E-409C-BE32-E72D297353CC}">
              <c16:uniqueId val="{00000000-D6DE-4CFE-BFD7-898EC49F6B0E}"/>
            </c:ext>
          </c:extLst>
        </c:ser>
        <c:ser>
          <c:idx val="9"/>
          <c:order val="1"/>
          <c:tx>
            <c:strRef>
              <c:f>№10!$Y$1</c:f>
              <c:strCache>
                <c:ptCount val="1"/>
                <c:pt idx="0">
                  <c:v>Ермилова</c:v>
                </c:pt>
              </c:strCache>
            </c:strRef>
          </c:tx>
          <c:spPr>
            <a:solidFill>
              <a:srgbClr val="000000">
                <a:alpha val="50000"/>
              </a:srgbClr>
            </a:solidFill>
            <a:ln w="25400"/>
          </c:spPr>
          <c:invertIfNegative val="0"/>
          <c:xVal>
            <c:numRef>
              <c:f>№10!$J$2:$J$8</c:f>
              <c:numCache>
                <c:formatCode>0.0</c:formatCode>
                <c:ptCount val="6"/>
                <c:pt idx="0">
                  <c:v>27.980535279805352</c:v>
                </c:pt>
                <c:pt idx="1">
                  <c:v>22.460776218001651</c:v>
                </c:pt>
                <c:pt idx="2">
                  <c:v>18.837863167760077</c:v>
                </c:pt>
                <c:pt idx="3">
                  <c:v>20.682593856655291</c:v>
                </c:pt>
                <c:pt idx="4">
                  <c:v>24.032586558044805</c:v>
                </c:pt>
                <c:pt idx="5">
                  <c:v>56.473214285714285</c:v>
                </c:pt>
              </c:numCache>
            </c:numRef>
          </c:xVal>
          <c:yVal>
            <c:numRef>
              <c:f>№10!$Y$2:$Y$8</c:f>
              <c:numCache>
                <c:formatCode>0.0</c:formatCode>
                <c:ptCount val="6"/>
                <c:pt idx="0">
                  <c:v>6.9565217391304346</c:v>
                </c:pt>
                <c:pt idx="1">
                  <c:v>3.3088235294117645</c:v>
                </c:pt>
                <c:pt idx="2">
                  <c:v>2.9850746268656718</c:v>
                </c:pt>
                <c:pt idx="3">
                  <c:v>1.3245033112582782</c:v>
                </c:pt>
                <c:pt idx="4">
                  <c:v>4.6610169491525424</c:v>
                </c:pt>
                <c:pt idx="5">
                  <c:v>0</c:v>
                </c:pt>
              </c:numCache>
            </c:numRef>
          </c:yVal>
          <c:bubbleSize>
            <c:numRef>
              <c:f>№10!$E$2:$E$8</c:f>
              <c:numCache>
                <c:formatCode>General</c:formatCode>
                <c:ptCount val="6"/>
                <c:pt idx="0">
                  <c:v>411</c:v>
                </c:pt>
                <c:pt idx="1">
                  <c:v>1211</c:v>
                </c:pt>
                <c:pt idx="2">
                  <c:v>1067</c:v>
                </c:pt>
                <c:pt idx="3">
                  <c:v>1465</c:v>
                </c:pt>
                <c:pt idx="4">
                  <c:v>982</c:v>
                </c:pt>
                <c:pt idx="5">
                  <c:v>448</c:v>
                </c:pt>
              </c:numCache>
            </c:numRef>
          </c:bubbleSize>
          <c:bubble3D val="0"/>
          <c:extLst>
            <c:ext xmlns:c16="http://schemas.microsoft.com/office/drawing/2014/chart" uri="{C3380CC4-5D6E-409C-BE32-E72D297353CC}">
              <c16:uniqueId val="{00000001-D6DE-4CFE-BFD7-898EC49F6B0E}"/>
            </c:ext>
          </c:extLst>
        </c:ser>
        <c:ser>
          <c:idx val="10"/>
          <c:order val="2"/>
          <c:tx>
            <c:strRef>
              <c:f>№10!$AA$1</c:f>
              <c:strCache>
                <c:ptCount val="1"/>
                <c:pt idx="0">
                  <c:v>Колистратов (СР)</c:v>
                </c:pt>
              </c:strCache>
            </c:strRef>
          </c:tx>
          <c:spPr>
            <a:solidFill>
              <a:srgbClr val="6666FF">
                <a:alpha val="50000"/>
              </a:srgbClr>
            </a:solidFill>
            <a:ln w="25400">
              <a:noFill/>
            </a:ln>
            <a:effectLst/>
          </c:spPr>
          <c:invertIfNegative val="0"/>
          <c:xVal>
            <c:numRef>
              <c:f>№10!$J$2:$J$8</c:f>
              <c:numCache>
                <c:formatCode>0.0</c:formatCode>
                <c:ptCount val="6"/>
                <c:pt idx="0">
                  <c:v>27.980535279805352</c:v>
                </c:pt>
                <c:pt idx="1">
                  <c:v>22.460776218001651</c:v>
                </c:pt>
                <c:pt idx="2">
                  <c:v>18.837863167760077</c:v>
                </c:pt>
                <c:pt idx="3">
                  <c:v>20.682593856655291</c:v>
                </c:pt>
                <c:pt idx="4">
                  <c:v>24.032586558044805</c:v>
                </c:pt>
                <c:pt idx="5">
                  <c:v>56.473214285714285</c:v>
                </c:pt>
              </c:numCache>
            </c:numRef>
          </c:xVal>
          <c:yVal>
            <c:numRef>
              <c:f>№10!$AA$2:$AA$8</c:f>
              <c:numCache>
                <c:formatCode>0.0</c:formatCode>
                <c:ptCount val="6"/>
                <c:pt idx="0">
                  <c:v>5.2173913043478262</c:v>
                </c:pt>
                <c:pt idx="1">
                  <c:v>7.7205882352941178</c:v>
                </c:pt>
                <c:pt idx="2">
                  <c:v>3.4825870646766171</c:v>
                </c:pt>
                <c:pt idx="3">
                  <c:v>9.6026490066225172</c:v>
                </c:pt>
                <c:pt idx="4">
                  <c:v>5.9322033898305087</c:v>
                </c:pt>
                <c:pt idx="5">
                  <c:v>8.3003952569169961</c:v>
                </c:pt>
              </c:numCache>
            </c:numRef>
          </c:yVal>
          <c:bubbleSize>
            <c:numRef>
              <c:f>№10!$E$2:$E$8</c:f>
              <c:numCache>
                <c:formatCode>General</c:formatCode>
                <c:ptCount val="6"/>
                <c:pt idx="0">
                  <c:v>411</c:v>
                </c:pt>
                <c:pt idx="1">
                  <c:v>1211</c:v>
                </c:pt>
                <c:pt idx="2">
                  <c:v>1067</c:v>
                </c:pt>
                <c:pt idx="3">
                  <c:v>1465</c:v>
                </c:pt>
                <c:pt idx="4">
                  <c:v>982</c:v>
                </c:pt>
                <c:pt idx="5">
                  <c:v>448</c:v>
                </c:pt>
              </c:numCache>
            </c:numRef>
          </c:bubbleSize>
          <c:bubble3D val="0"/>
          <c:extLst>
            <c:ext xmlns:c16="http://schemas.microsoft.com/office/drawing/2014/chart" uri="{C3380CC4-5D6E-409C-BE32-E72D297353CC}">
              <c16:uniqueId val="{00000002-D6DE-4CFE-BFD7-898EC49F6B0E}"/>
            </c:ext>
          </c:extLst>
        </c:ser>
        <c:ser>
          <c:idx val="11"/>
          <c:order val="3"/>
          <c:tx>
            <c:strRef>
              <c:f>№10!$AC$1</c:f>
              <c:strCache>
                <c:ptCount val="1"/>
                <c:pt idx="0">
                  <c:v>Рыбальченко (ЕР)</c:v>
                </c:pt>
              </c:strCache>
            </c:strRef>
          </c:tx>
          <c:spPr>
            <a:solidFill>
              <a:srgbClr val="0000FF">
                <a:alpha val="50000"/>
              </a:srgbClr>
            </a:solidFill>
            <a:ln w="25400">
              <a:noFill/>
            </a:ln>
            <a:effectLst/>
          </c:spPr>
          <c:invertIfNegative val="0"/>
          <c:xVal>
            <c:numRef>
              <c:f>№10!$J$2:$J$8</c:f>
              <c:numCache>
                <c:formatCode>0.0</c:formatCode>
                <c:ptCount val="6"/>
                <c:pt idx="0">
                  <c:v>27.980535279805352</c:v>
                </c:pt>
                <c:pt idx="1">
                  <c:v>22.460776218001651</c:v>
                </c:pt>
                <c:pt idx="2">
                  <c:v>18.837863167760077</c:v>
                </c:pt>
                <c:pt idx="3">
                  <c:v>20.682593856655291</c:v>
                </c:pt>
                <c:pt idx="4">
                  <c:v>24.032586558044805</c:v>
                </c:pt>
                <c:pt idx="5">
                  <c:v>56.473214285714285</c:v>
                </c:pt>
              </c:numCache>
            </c:numRef>
          </c:xVal>
          <c:yVal>
            <c:numRef>
              <c:f>№10!$AC$2:$AC$8</c:f>
              <c:numCache>
                <c:formatCode>0.0</c:formatCode>
                <c:ptCount val="6"/>
                <c:pt idx="0">
                  <c:v>68.695652173913047</c:v>
                </c:pt>
                <c:pt idx="1">
                  <c:v>72.058823529411768</c:v>
                </c:pt>
                <c:pt idx="2">
                  <c:v>78.606965174129357</c:v>
                </c:pt>
                <c:pt idx="3">
                  <c:v>77.814569536423846</c:v>
                </c:pt>
                <c:pt idx="4">
                  <c:v>74.576271186440678</c:v>
                </c:pt>
                <c:pt idx="5">
                  <c:v>87.351778656126484</c:v>
                </c:pt>
              </c:numCache>
            </c:numRef>
          </c:yVal>
          <c:bubbleSize>
            <c:numRef>
              <c:f>№10!$E$2:$E$8</c:f>
              <c:numCache>
                <c:formatCode>General</c:formatCode>
                <c:ptCount val="6"/>
                <c:pt idx="0">
                  <c:v>411</c:v>
                </c:pt>
                <c:pt idx="1">
                  <c:v>1211</c:v>
                </c:pt>
                <c:pt idx="2">
                  <c:v>1067</c:v>
                </c:pt>
                <c:pt idx="3">
                  <c:v>1465</c:v>
                </c:pt>
                <c:pt idx="4">
                  <c:v>982</c:v>
                </c:pt>
                <c:pt idx="5">
                  <c:v>448</c:v>
                </c:pt>
              </c:numCache>
            </c:numRef>
          </c:bubbleSize>
          <c:bubble3D val="0"/>
          <c:extLst>
            <c:ext xmlns:c16="http://schemas.microsoft.com/office/drawing/2014/chart" uri="{C3380CC4-5D6E-409C-BE32-E72D297353CC}">
              <c16:uniqueId val="{00000003-D6DE-4CFE-BFD7-898EC49F6B0E}"/>
            </c:ext>
          </c:extLst>
        </c:ser>
        <c:ser>
          <c:idx val="2"/>
          <c:order val="4"/>
          <c:tx>
            <c:strRef>
              <c:f>№10!$AE$1</c:f>
              <c:strCache>
                <c:ptCount val="1"/>
                <c:pt idx="0">
                  <c:v>Хацук (ЛДПР)</c:v>
                </c:pt>
              </c:strCache>
            </c:strRef>
          </c:tx>
          <c:spPr>
            <a:solidFill>
              <a:srgbClr val="FF9900">
                <a:alpha val="50000"/>
              </a:srgbClr>
            </a:solidFill>
            <a:ln w="25400">
              <a:noFill/>
            </a:ln>
          </c:spPr>
          <c:invertIfNegative val="0"/>
          <c:xVal>
            <c:numRef>
              <c:f>№10!$J$2:$J$8</c:f>
              <c:numCache>
                <c:formatCode>0.0</c:formatCode>
                <c:ptCount val="6"/>
                <c:pt idx="0">
                  <c:v>27.980535279805352</c:v>
                </c:pt>
                <c:pt idx="1">
                  <c:v>22.460776218001651</c:v>
                </c:pt>
                <c:pt idx="2">
                  <c:v>18.837863167760077</c:v>
                </c:pt>
                <c:pt idx="3">
                  <c:v>20.682593856655291</c:v>
                </c:pt>
                <c:pt idx="4">
                  <c:v>24.032586558044805</c:v>
                </c:pt>
                <c:pt idx="5">
                  <c:v>56.473214285714285</c:v>
                </c:pt>
              </c:numCache>
            </c:numRef>
          </c:xVal>
          <c:yVal>
            <c:numRef>
              <c:f>№10!$AE$2:$AE$8</c:f>
              <c:numCache>
                <c:formatCode>0.0</c:formatCode>
                <c:ptCount val="6"/>
                <c:pt idx="0">
                  <c:v>4.3478260869565215</c:v>
                </c:pt>
                <c:pt idx="1">
                  <c:v>4.4117647058823533</c:v>
                </c:pt>
                <c:pt idx="2">
                  <c:v>1.4925373134328359</c:v>
                </c:pt>
                <c:pt idx="3">
                  <c:v>1.3245033112582782</c:v>
                </c:pt>
                <c:pt idx="4">
                  <c:v>2.5423728813559321</c:v>
                </c:pt>
                <c:pt idx="5">
                  <c:v>0.39525691699604742</c:v>
                </c:pt>
              </c:numCache>
            </c:numRef>
          </c:yVal>
          <c:bubbleSize>
            <c:numRef>
              <c:f>№10!$E$2:$E$8</c:f>
              <c:numCache>
                <c:formatCode>General</c:formatCode>
                <c:ptCount val="6"/>
                <c:pt idx="0">
                  <c:v>411</c:v>
                </c:pt>
                <c:pt idx="1">
                  <c:v>1211</c:v>
                </c:pt>
                <c:pt idx="2">
                  <c:v>1067</c:v>
                </c:pt>
                <c:pt idx="3">
                  <c:v>1465</c:v>
                </c:pt>
                <c:pt idx="4">
                  <c:v>982</c:v>
                </c:pt>
                <c:pt idx="5">
                  <c:v>448</c:v>
                </c:pt>
              </c:numCache>
            </c:numRef>
          </c:bubbleSize>
          <c:bubble3D val="0"/>
          <c:extLst>
            <c:ext xmlns:c16="http://schemas.microsoft.com/office/drawing/2014/chart" uri="{C3380CC4-5D6E-409C-BE32-E72D297353CC}">
              <c16:uniqueId val="{00000004-D6DE-4CFE-BFD7-898EC49F6B0E}"/>
            </c:ext>
          </c:extLst>
        </c:ser>
        <c:ser>
          <c:idx val="3"/>
          <c:order val="5"/>
          <c:tx>
            <c:strRef>
              <c:f>№10!$AG$1</c:f>
              <c:strCache>
                <c:ptCount val="1"/>
                <c:pt idx="0">
                  <c:v>Цалис (Родина)</c:v>
                </c:pt>
              </c:strCache>
            </c:strRef>
          </c:tx>
          <c:spPr>
            <a:solidFill>
              <a:srgbClr val="9900FF">
                <a:alpha val="50000"/>
              </a:srgbClr>
            </a:solidFill>
            <a:ln w="25400">
              <a:noFill/>
            </a:ln>
          </c:spPr>
          <c:invertIfNegative val="0"/>
          <c:xVal>
            <c:numRef>
              <c:f>№10!$J$2:$J$8</c:f>
              <c:numCache>
                <c:formatCode>0.0</c:formatCode>
                <c:ptCount val="6"/>
                <c:pt idx="0">
                  <c:v>27.980535279805352</c:v>
                </c:pt>
                <c:pt idx="1">
                  <c:v>22.460776218001651</c:v>
                </c:pt>
                <c:pt idx="2">
                  <c:v>18.837863167760077</c:v>
                </c:pt>
                <c:pt idx="3">
                  <c:v>20.682593856655291</c:v>
                </c:pt>
                <c:pt idx="4">
                  <c:v>24.032586558044805</c:v>
                </c:pt>
                <c:pt idx="5">
                  <c:v>56.473214285714285</c:v>
                </c:pt>
              </c:numCache>
            </c:numRef>
          </c:xVal>
          <c:yVal>
            <c:numRef>
              <c:f>№10!$AG$2:$AG$8</c:f>
              <c:numCache>
                <c:formatCode>0.0</c:formatCode>
                <c:ptCount val="6"/>
                <c:pt idx="0">
                  <c:v>1.7391304347826086</c:v>
                </c:pt>
                <c:pt idx="1">
                  <c:v>1.4705882352941178</c:v>
                </c:pt>
                <c:pt idx="2">
                  <c:v>1.9900497512437811</c:v>
                </c:pt>
                <c:pt idx="3">
                  <c:v>0.33112582781456956</c:v>
                </c:pt>
                <c:pt idx="4">
                  <c:v>1.271186440677966</c:v>
                </c:pt>
                <c:pt idx="5">
                  <c:v>0</c:v>
                </c:pt>
              </c:numCache>
            </c:numRef>
          </c:yVal>
          <c:bubbleSize>
            <c:numRef>
              <c:f>№10!$E$2:$E$8</c:f>
              <c:numCache>
                <c:formatCode>General</c:formatCode>
                <c:ptCount val="6"/>
                <c:pt idx="0">
                  <c:v>411</c:v>
                </c:pt>
                <c:pt idx="1">
                  <c:v>1211</c:v>
                </c:pt>
                <c:pt idx="2">
                  <c:v>1067</c:v>
                </c:pt>
                <c:pt idx="3">
                  <c:v>1465</c:v>
                </c:pt>
                <c:pt idx="4">
                  <c:v>982</c:v>
                </c:pt>
                <c:pt idx="5">
                  <c:v>448</c:v>
                </c:pt>
              </c:numCache>
            </c:numRef>
          </c:bubbleSize>
          <c:bubble3D val="0"/>
          <c:extLst>
            <c:ext xmlns:c16="http://schemas.microsoft.com/office/drawing/2014/chart" uri="{C3380CC4-5D6E-409C-BE32-E72D297353CC}">
              <c16:uniqueId val="{00000005-D6DE-4CFE-BFD7-898EC49F6B0E}"/>
            </c:ext>
          </c:extLst>
        </c:ser>
        <c:ser>
          <c:idx val="0"/>
          <c:order val="6"/>
          <c:tx>
            <c:strRef>
              <c:f>№10!$R$1</c:f>
              <c:strCache>
                <c:ptCount val="1"/>
                <c:pt idx="0">
                  <c:v>Недействительных</c:v>
                </c:pt>
              </c:strCache>
            </c:strRef>
          </c:tx>
          <c:spPr>
            <a:noFill/>
            <a:ln w="6350">
              <a:solidFill>
                <a:srgbClr val="000000"/>
              </a:solidFill>
            </a:ln>
          </c:spPr>
          <c:invertIfNegative val="0"/>
          <c:xVal>
            <c:numRef>
              <c:f>№10!$J$2:$J$8</c:f>
              <c:numCache>
                <c:formatCode>0.0</c:formatCode>
                <c:ptCount val="6"/>
                <c:pt idx="0">
                  <c:v>27.980535279805352</c:v>
                </c:pt>
                <c:pt idx="1">
                  <c:v>22.460776218001651</c:v>
                </c:pt>
                <c:pt idx="2">
                  <c:v>18.837863167760077</c:v>
                </c:pt>
                <c:pt idx="3">
                  <c:v>20.682593856655291</c:v>
                </c:pt>
                <c:pt idx="4">
                  <c:v>24.032586558044805</c:v>
                </c:pt>
                <c:pt idx="5">
                  <c:v>56.473214285714285</c:v>
                </c:pt>
              </c:numCache>
            </c:numRef>
          </c:xVal>
          <c:yVal>
            <c:numRef>
              <c:f>№10!$R$2:$R$8</c:f>
              <c:numCache>
                <c:formatCode>0.0</c:formatCode>
                <c:ptCount val="6"/>
                <c:pt idx="0">
                  <c:v>0</c:v>
                </c:pt>
                <c:pt idx="1">
                  <c:v>3.6764705882352939</c:v>
                </c:pt>
                <c:pt idx="2">
                  <c:v>4.4776119402985071</c:v>
                </c:pt>
                <c:pt idx="3">
                  <c:v>1.9867549668874172</c:v>
                </c:pt>
                <c:pt idx="4">
                  <c:v>2.1186440677966103</c:v>
                </c:pt>
                <c:pt idx="5">
                  <c:v>1.9762845849802371</c:v>
                </c:pt>
              </c:numCache>
            </c:numRef>
          </c:yVal>
          <c:bubbleSize>
            <c:numRef>
              <c:f>№10!$E$2:$E$8</c:f>
              <c:numCache>
                <c:formatCode>General</c:formatCode>
                <c:ptCount val="6"/>
                <c:pt idx="0">
                  <c:v>411</c:v>
                </c:pt>
                <c:pt idx="1">
                  <c:v>1211</c:v>
                </c:pt>
                <c:pt idx="2">
                  <c:v>1067</c:v>
                </c:pt>
                <c:pt idx="3">
                  <c:v>1465</c:v>
                </c:pt>
                <c:pt idx="4">
                  <c:v>982</c:v>
                </c:pt>
                <c:pt idx="5">
                  <c:v>448</c:v>
                </c:pt>
              </c:numCache>
            </c:numRef>
          </c:bubbleSize>
          <c:bubble3D val="0"/>
          <c:extLst>
            <c:ext xmlns:c16="http://schemas.microsoft.com/office/drawing/2014/chart" uri="{C3380CC4-5D6E-409C-BE32-E72D297353CC}">
              <c16:uniqueId val="{00000008-D6DE-4CFE-BFD7-898EC49F6B0E}"/>
            </c:ext>
          </c:extLst>
        </c:ser>
        <c:ser>
          <c:idx val="1"/>
          <c:order val="7"/>
          <c:tx>
            <c:strRef>
              <c:f>№10!$P$1</c:f>
              <c:strCache>
                <c:ptCount val="1"/>
                <c:pt idx="0">
                  <c:v>Надомка</c:v>
                </c:pt>
              </c:strCache>
            </c:strRef>
          </c:tx>
          <c:spPr>
            <a:noFill/>
            <a:ln w="6350">
              <a:solidFill>
                <a:srgbClr val="000000"/>
              </a:solidFill>
              <a:prstDash val="sysDot"/>
            </a:ln>
          </c:spPr>
          <c:invertIfNegative val="0"/>
          <c:xVal>
            <c:numRef>
              <c:f>№10!$J$2:$J$8</c:f>
              <c:numCache>
                <c:formatCode>0.0</c:formatCode>
                <c:ptCount val="6"/>
                <c:pt idx="0">
                  <c:v>27.980535279805352</c:v>
                </c:pt>
                <c:pt idx="1">
                  <c:v>22.460776218001651</c:v>
                </c:pt>
                <c:pt idx="2">
                  <c:v>18.837863167760077</c:v>
                </c:pt>
                <c:pt idx="3">
                  <c:v>20.682593856655291</c:v>
                </c:pt>
                <c:pt idx="4">
                  <c:v>24.032586558044805</c:v>
                </c:pt>
                <c:pt idx="5">
                  <c:v>56.473214285714285</c:v>
                </c:pt>
              </c:numCache>
            </c:numRef>
          </c:xVal>
          <c:yVal>
            <c:numRef>
              <c:f>№10!$P$2:$P$8</c:f>
              <c:numCache>
                <c:formatCode>0.0</c:formatCode>
                <c:ptCount val="6"/>
                <c:pt idx="0">
                  <c:v>28.695652173913043</c:v>
                </c:pt>
                <c:pt idx="1">
                  <c:v>33.455882352941174</c:v>
                </c:pt>
                <c:pt idx="2">
                  <c:v>28.35820895522388</c:v>
                </c:pt>
                <c:pt idx="3">
                  <c:v>23.178807947019866</c:v>
                </c:pt>
                <c:pt idx="4">
                  <c:v>12.711864406779661</c:v>
                </c:pt>
                <c:pt idx="5">
                  <c:v>8.695652173913043</c:v>
                </c:pt>
              </c:numCache>
            </c:numRef>
          </c:yVal>
          <c:bubbleSize>
            <c:numRef>
              <c:f>№10!$E$2:$E$8</c:f>
              <c:numCache>
                <c:formatCode>General</c:formatCode>
                <c:ptCount val="6"/>
                <c:pt idx="0">
                  <c:v>411</c:v>
                </c:pt>
                <c:pt idx="1">
                  <c:v>1211</c:v>
                </c:pt>
                <c:pt idx="2">
                  <c:v>1067</c:v>
                </c:pt>
                <c:pt idx="3">
                  <c:v>1465</c:v>
                </c:pt>
                <c:pt idx="4">
                  <c:v>982</c:v>
                </c:pt>
                <c:pt idx="5">
                  <c:v>448</c:v>
                </c:pt>
              </c:numCache>
            </c:numRef>
          </c:bubbleSize>
          <c:bubble3D val="0"/>
          <c:extLst>
            <c:ext xmlns:c16="http://schemas.microsoft.com/office/drawing/2014/chart" uri="{C3380CC4-5D6E-409C-BE32-E72D297353CC}">
              <c16:uniqueId val="{00000009-D6DE-4CFE-BFD7-898EC49F6B0E}"/>
            </c:ext>
          </c:extLst>
        </c:ser>
        <c:ser>
          <c:idx val="17"/>
          <c:order val="8"/>
          <c:tx>
            <c:strRef>
              <c:f>№10!$V$45</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№10!$V$46</c:f>
              <c:numCache>
                <c:formatCode>General</c:formatCode>
                <c:ptCount val="1"/>
                <c:pt idx="0">
                  <c:v>5646</c:v>
                </c:pt>
              </c:numCache>
            </c:numRef>
          </c:bubbleSize>
          <c:bubble3D val="0"/>
          <c:extLst>
            <c:ext xmlns:c16="http://schemas.microsoft.com/office/drawing/2014/chart" uri="{C3380CC4-5D6E-409C-BE32-E72D297353CC}">
              <c16:uniqueId val="{0000000A-D6DE-4CFE-BFD7-898EC49F6B0E}"/>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454633898072059"/>
          <c:y val="0.1025620694536567"/>
          <c:w val="0.16224020216582116"/>
          <c:h val="0.28999653591554325"/>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9"/>
          <c:order val="1"/>
          <c:tx>
            <c:strRef>
              <c:f>'Партии (единый округ)'!$Y$1</c:f>
              <c:strCache>
                <c:ptCount val="1"/>
                <c:pt idx="0">
                  <c:v>Единая Россия</c:v>
                </c:pt>
              </c:strCache>
            </c:strRef>
          </c:tx>
          <c:spPr>
            <a:solidFill>
              <a:srgbClr val="0000FF">
                <a:alpha val="50000"/>
              </a:srgbClr>
            </a:solidFill>
            <a:ln w="25400"/>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округ)'!$Y$2:$Y$41</c:f>
              <c:numCache>
                <c:formatCode>0.0</c:formatCode>
                <c:ptCount val="39"/>
                <c:pt idx="0">
                  <c:v>43.113772455089823</c:v>
                </c:pt>
                <c:pt idx="1">
                  <c:v>42.405063291139243</c:v>
                </c:pt>
                <c:pt idx="2">
                  <c:v>37.956204379562045</c:v>
                </c:pt>
                <c:pt idx="3">
                  <c:v>54.838709677419352</c:v>
                </c:pt>
                <c:pt idx="4">
                  <c:v>59.090909090909093</c:v>
                </c:pt>
                <c:pt idx="5">
                  <c:v>75</c:v>
                </c:pt>
                <c:pt idx="6">
                  <c:v>50.431034482758619</c:v>
                </c:pt>
                <c:pt idx="7">
                  <c:v>64.825581395348834</c:v>
                </c:pt>
                <c:pt idx="8">
                  <c:v>65.505226480836242</c:v>
                </c:pt>
                <c:pt idx="9">
                  <c:v>45.626477541371159</c:v>
                </c:pt>
                <c:pt idx="10">
                  <c:v>48.41628959276018</c:v>
                </c:pt>
                <c:pt idx="11">
                  <c:v>48.739495798319325</c:v>
                </c:pt>
                <c:pt idx="12">
                  <c:v>47.323943661971832</c:v>
                </c:pt>
                <c:pt idx="13">
                  <c:v>56.25</c:v>
                </c:pt>
                <c:pt idx="14">
                  <c:v>66.219839142091146</c:v>
                </c:pt>
                <c:pt idx="15">
                  <c:v>40.311804008908688</c:v>
                </c:pt>
                <c:pt idx="16">
                  <c:v>66.666666666666671</c:v>
                </c:pt>
                <c:pt idx="17">
                  <c:v>72.64150943396227</c:v>
                </c:pt>
                <c:pt idx="18">
                  <c:v>66.88741721854305</c:v>
                </c:pt>
                <c:pt idx="19">
                  <c:v>53.80952380952381</c:v>
                </c:pt>
                <c:pt idx="20">
                  <c:v>67.72823779193206</c:v>
                </c:pt>
                <c:pt idx="21">
                  <c:v>48.559670781893004</c:v>
                </c:pt>
                <c:pt idx="22">
                  <c:v>46.97674418604651</c:v>
                </c:pt>
                <c:pt idx="23">
                  <c:v>48.214285714285715</c:v>
                </c:pt>
                <c:pt idx="24">
                  <c:v>40.227272727272727</c:v>
                </c:pt>
                <c:pt idx="25">
                  <c:v>45.305164319248824</c:v>
                </c:pt>
                <c:pt idx="26">
                  <c:v>42.857142857142854</c:v>
                </c:pt>
                <c:pt idx="27">
                  <c:v>37.053571428571431</c:v>
                </c:pt>
                <c:pt idx="28">
                  <c:v>53.026634382566584</c:v>
                </c:pt>
                <c:pt idx="29">
                  <c:v>48.425196850393704</c:v>
                </c:pt>
                <c:pt idx="30">
                  <c:v>47.495682210708118</c:v>
                </c:pt>
                <c:pt idx="31">
                  <c:v>57.988165680473372</c:v>
                </c:pt>
                <c:pt idx="32">
                  <c:v>44.827586206896555</c:v>
                </c:pt>
                <c:pt idx="33">
                  <c:v>53.913043478260867</c:v>
                </c:pt>
                <c:pt idx="34">
                  <c:v>62.867647058823529</c:v>
                </c:pt>
                <c:pt idx="35">
                  <c:v>58.706467661691541</c:v>
                </c:pt>
                <c:pt idx="36">
                  <c:v>62.58278145695364</c:v>
                </c:pt>
                <c:pt idx="37">
                  <c:v>53.389830508474574</c:v>
                </c:pt>
                <c:pt idx="38">
                  <c:v>88.932806324110672</c:v>
                </c:pt>
              </c:numCache>
            </c:numRef>
          </c:yVal>
          <c:bubbleSize>
            <c:numRef>
              <c:f>'Партии (единый округ)'!$O$2:$O$41</c:f>
              <c:numCache>
                <c:formatCode>General</c:formatCode>
                <c:ptCount val="39"/>
                <c:pt idx="0">
                  <c:v>334</c:v>
                </c:pt>
                <c:pt idx="1">
                  <c:v>474</c:v>
                </c:pt>
                <c:pt idx="2">
                  <c:v>137</c:v>
                </c:pt>
                <c:pt idx="3">
                  <c:v>217</c:v>
                </c:pt>
                <c:pt idx="4">
                  <c:v>264</c:v>
                </c:pt>
                <c:pt idx="5">
                  <c:v>40</c:v>
                </c:pt>
                <c:pt idx="6">
                  <c:v>232</c:v>
                </c:pt>
                <c:pt idx="7">
                  <c:v>344</c:v>
                </c:pt>
                <c:pt idx="8">
                  <c:v>287</c:v>
                </c:pt>
                <c:pt idx="9">
                  <c:v>423</c:v>
                </c:pt>
                <c:pt idx="10">
                  <c:v>442</c:v>
                </c:pt>
                <c:pt idx="11">
                  <c:v>357</c:v>
                </c:pt>
                <c:pt idx="12">
                  <c:v>355</c:v>
                </c:pt>
                <c:pt idx="13">
                  <c:v>336</c:v>
                </c:pt>
                <c:pt idx="14">
                  <c:v>746</c:v>
                </c:pt>
                <c:pt idx="15">
                  <c:v>449</c:v>
                </c:pt>
                <c:pt idx="16">
                  <c:v>297</c:v>
                </c:pt>
                <c:pt idx="17">
                  <c:v>530</c:v>
                </c:pt>
                <c:pt idx="18">
                  <c:v>151</c:v>
                </c:pt>
                <c:pt idx="19">
                  <c:v>210</c:v>
                </c:pt>
                <c:pt idx="20">
                  <c:v>471</c:v>
                </c:pt>
                <c:pt idx="21">
                  <c:v>243</c:v>
                </c:pt>
                <c:pt idx="22">
                  <c:v>215</c:v>
                </c:pt>
                <c:pt idx="23">
                  <c:v>336</c:v>
                </c:pt>
                <c:pt idx="24">
                  <c:v>440</c:v>
                </c:pt>
                <c:pt idx="25">
                  <c:v>426</c:v>
                </c:pt>
                <c:pt idx="26">
                  <c:v>203</c:v>
                </c:pt>
                <c:pt idx="27">
                  <c:v>224</c:v>
                </c:pt>
                <c:pt idx="28">
                  <c:v>413</c:v>
                </c:pt>
                <c:pt idx="29">
                  <c:v>254</c:v>
                </c:pt>
                <c:pt idx="30">
                  <c:v>579</c:v>
                </c:pt>
                <c:pt idx="31">
                  <c:v>169</c:v>
                </c:pt>
                <c:pt idx="32">
                  <c:v>174</c:v>
                </c:pt>
                <c:pt idx="33">
                  <c:v>115</c:v>
                </c:pt>
                <c:pt idx="34">
                  <c:v>272</c:v>
                </c:pt>
                <c:pt idx="35">
                  <c:v>201</c:v>
                </c:pt>
                <c:pt idx="36">
                  <c:v>302</c:v>
                </c:pt>
                <c:pt idx="37">
                  <c:v>236</c:v>
                </c:pt>
                <c:pt idx="38">
                  <c:v>253</c:v>
                </c:pt>
              </c:numCache>
            </c:numRef>
          </c:bubbleSize>
          <c:bubble3D val="0"/>
          <c:extLst>
            <c:ext xmlns:c16="http://schemas.microsoft.com/office/drawing/2014/chart" uri="{C3380CC4-5D6E-409C-BE32-E72D297353CC}">
              <c16:uniqueId val="{00000001-AB2B-46F5-A4A9-5B2C444CA80C}"/>
            </c:ext>
          </c:extLst>
        </c:ser>
        <c:ser>
          <c:idx val="13"/>
          <c:order val="5"/>
          <c:tx>
            <c:v>Справедливая Россия</c:v>
          </c:tx>
          <c:spPr>
            <a:solidFill>
              <a:srgbClr val="6666FF">
                <a:alpha val="49804"/>
              </a:srgbClr>
            </a:solidFill>
            <a:ln w="25400"/>
          </c:spPr>
          <c:invertIfNegative val="0"/>
          <c:xVal>
            <c:numRef>
              <c:f>'Партии (единый округ)'!$J$2:$J$41</c:f>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f>'Партии (единый округ)'!$AG$2:$AG$41</c:f>
              <c:numCache>
                <c:formatCode>0.0</c:formatCode>
                <c:ptCount val="39"/>
                <c:pt idx="0">
                  <c:v>4.7904191616766463</c:v>
                </c:pt>
                <c:pt idx="1">
                  <c:v>26.582278481012658</c:v>
                </c:pt>
                <c:pt idx="2">
                  <c:v>20.437956204379564</c:v>
                </c:pt>
                <c:pt idx="3">
                  <c:v>7.8341013824884795</c:v>
                </c:pt>
                <c:pt idx="4">
                  <c:v>9.8484848484848477</c:v>
                </c:pt>
                <c:pt idx="5">
                  <c:v>2.5</c:v>
                </c:pt>
                <c:pt idx="6">
                  <c:v>12.068965517241379</c:v>
                </c:pt>
                <c:pt idx="7">
                  <c:v>3.4883720930232558</c:v>
                </c:pt>
                <c:pt idx="8">
                  <c:v>10.452961672473867</c:v>
                </c:pt>
                <c:pt idx="9">
                  <c:v>19.385342789598109</c:v>
                </c:pt>
                <c:pt idx="10">
                  <c:v>11.312217194570136</c:v>
                </c:pt>
                <c:pt idx="11">
                  <c:v>7.0028011204481793</c:v>
                </c:pt>
                <c:pt idx="12">
                  <c:v>11.549295774647888</c:v>
                </c:pt>
                <c:pt idx="13">
                  <c:v>8.3333333333333339</c:v>
                </c:pt>
                <c:pt idx="14">
                  <c:v>0.67024128686327078</c:v>
                </c:pt>
                <c:pt idx="15">
                  <c:v>8.4632516703786198</c:v>
                </c:pt>
                <c:pt idx="16">
                  <c:v>6.0606060606060606</c:v>
                </c:pt>
                <c:pt idx="17">
                  <c:v>1.8867924528301887</c:v>
                </c:pt>
                <c:pt idx="18">
                  <c:v>7.2847682119205297</c:v>
                </c:pt>
                <c:pt idx="19">
                  <c:v>8.5714285714285712</c:v>
                </c:pt>
                <c:pt idx="20">
                  <c:v>2.9723991507430996</c:v>
                </c:pt>
                <c:pt idx="21">
                  <c:v>19.753086419753085</c:v>
                </c:pt>
                <c:pt idx="22">
                  <c:v>18.604651162790699</c:v>
                </c:pt>
                <c:pt idx="23">
                  <c:v>21.428571428571427</c:v>
                </c:pt>
                <c:pt idx="24">
                  <c:v>23.40909090909091</c:v>
                </c:pt>
                <c:pt idx="25">
                  <c:v>20.187793427230048</c:v>
                </c:pt>
                <c:pt idx="26">
                  <c:v>19.704433497536947</c:v>
                </c:pt>
                <c:pt idx="27">
                  <c:v>25.446428571428573</c:v>
                </c:pt>
                <c:pt idx="28">
                  <c:v>20.82324455205811</c:v>
                </c:pt>
                <c:pt idx="29">
                  <c:v>16.141732283464567</c:v>
                </c:pt>
                <c:pt idx="30">
                  <c:v>9.6718480138169252</c:v>
                </c:pt>
                <c:pt idx="31">
                  <c:v>10.650887573964496</c:v>
                </c:pt>
                <c:pt idx="32">
                  <c:v>11.494252873563218</c:v>
                </c:pt>
                <c:pt idx="33">
                  <c:v>7.8260869565217392</c:v>
                </c:pt>
                <c:pt idx="34">
                  <c:v>6.9852941176470589</c:v>
                </c:pt>
                <c:pt idx="35">
                  <c:v>6.4676616915422889</c:v>
                </c:pt>
                <c:pt idx="36">
                  <c:v>6.2913907284768209</c:v>
                </c:pt>
                <c:pt idx="37">
                  <c:v>7.6271186440677967</c:v>
                </c:pt>
                <c:pt idx="38">
                  <c:v>2.3715415019762847</c:v>
                </c:pt>
              </c:numCache>
            </c:numRef>
          </c:yVal>
          <c:bubbleSize>
            <c:numRef>
              <c:f>'Партии (единый округ)'!$O$2:$O$41</c:f>
              <c:numCache>
                <c:formatCode>General</c:formatCode>
                <c:ptCount val="39"/>
                <c:pt idx="0">
                  <c:v>334</c:v>
                </c:pt>
                <c:pt idx="1">
                  <c:v>474</c:v>
                </c:pt>
                <c:pt idx="2">
                  <c:v>137</c:v>
                </c:pt>
                <c:pt idx="3">
                  <c:v>217</c:v>
                </c:pt>
                <c:pt idx="4">
                  <c:v>264</c:v>
                </c:pt>
                <c:pt idx="5">
                  <c:v>40</c:v>
                </c:pt>
                <c:pt idx="6">
                  <c:v>232</c:v>
                </c:pt>
                <c:pt idx="7">
                  <c:v>344</c:v>
                </c:pt>
                <c:pt idx="8">
                  <c:v>287</c:v>
                </c:pt>
                <c:pt idx="9">
                  <c:v>423</c:v>
                </c:pt>
                <c:pt idx="10">
                  <c:v>442</c:v>
                </c:pt>
                <c:pt idx="11">
                  <c:v>357</c:v>
                </c:pt>
                <c:pt idx="12">
                  <c:v>355</c:v>
                </c:pt>
                <c:pt idx="13">
                  <c:v>336</c:v>
                </c:pt>
                <c:pt idx="14">
                  <c:v>746</c:v>
                </c:pt>
                <c:pt idx="15">
                  <c:v>449</c:v>
                </c:pt>
                <c:pt idx="16">
                  <c:v>297</c:v>
                </c:pt>
                <c:pt idx="17">
                  <c:v>530</c:v>
                </c:pt>
                <c:pt idx="18">
                  <c:v>151</c:v>
                </c:pt>
                <c:pt idx="19">
                  <c:v>210</c:v>
                </c:pt>
                <c:pt idx="20">
                  <c:v>471</c:v>
                </c:pt>
                <c:pt idx="21">
                  <c:v>243</c:v>
                </c:pt>
                <c:pt idx="22">
                  <c:v>215</c:v>
                </c:pt>
                <c:pt idx="23">
                  <c:v>336</c:v>
                </c:pt>
                <c:pt idx="24">
                  <c:v>440</c:v>
                </c:pt>
                <c:pt idx="25">
                  <c:v>426</c:v>
                </c:pt>
                <c:pt idx="26">
                  <c:v>203</c:v>
                </c:pt>
                <c:pt idx="27">
                  <c:v>224</c:v>
                </c:pt>
                <c:pt idx="28">
                  <c:v>413</c:v>
                </c:pt>
                <c:pt idx="29">
                  <c:v>254</c:v>
                </c:pt>
                <c:pt idx="30">
                  <c:v>579</c:v>
                </c:pt>
                <c:pt idx="31">
                  <c:v>169</c:v>
                </c:pt>
                <c:pt idx="32">
                  <c:v>174</c:v>
                </c:pt>
                <c:pt idx="33">
                  <c:v>115</c:v>
                </c:pt>
                <c:pt idx="34">
                  <c:v>272</c:v>
                </c:pt>
                <c:pt idx="35">
                  <c:v>201</c:v>
                </c:pt>
                <c:pt idx="36">
                  <c:v>302</c:v>
                </c:pt>
                <c:pt idx="37">
                  <c:v>236</c:v>
                </c:pt>
                <c:pt idx="38">
                  <c:v>253</c:v>
                </c:pt>
              </c:numCache>
            </c:numRef>
          </c:bubbleSize>
          <c:bubble3D val="0"/>
          <c:extLst>
            <c:ext xmlns:c16="http://schemas.microsoft.com/office/drawing/2014/chart" uri="{C3380CC4-5D6E-409C-BE32-E72D297353CC}">
              <c16:uniqueId val="{00000005-AB2B-46F5-A4A9-5B2C444CA80C}"/>
            </c:ext>
          </c:extLst>
        </c:ser>
        <c:ser>
          <c:idx val="16"/>
          <c:order val="9"/>
          <c:tx>
            <c:strRef>
              <c:f>'Партии (единый округ)'!$V$74</c:f>
              <c:strCache>
                <c:ptCount val="1"/>
                <c:pt idx="0">
                  <c:v>Вручную задано: ЕР без фальс. (%)</c:v>
                </c:pt>
              </c:strCache>
            </c:strRef>
          </c:tx>
          <c:spPr>
            <a:ln w="25400">
              <a:noFill/>
            </a:ln>
          </c:spPr>
          <c:invertIfNegative val="0"/>
          <c:errBars>
            <c:errDir val="x"/>
            <c:errBarType val="minus"/>
            <c:errValType val="percentage"/>
            <c:noEndCap val="1"/>
            <c:val val="100"/>
            <c:spPr>
              <a:ln w="6350">
                <a:solidFill>
                  <a:srgbClr val="6666FF">
                    <a:alpha val="50000"/>
                  </a:srgbClr>
                </a:solidFill>
              </a:ln>
            </c:spPr>
          </c:errBars>
          <c:xVal>
            <c:numLit>
              <c:formatCode>General</c:formatCode>
              <c:ptCount val="1"/>
              <c:pt idx="0">
                <c:v>100</c:v>
              </c:pt>
            </c:numLit>
          </c:xVal>
          <c:yVal>
            <c:numLit>
              <c:formatCode>General</c:formatCode>
              <c:ptCount val="1"/>
              <c:pt idx="0">
                <c:v>8.3800000000000008</c:v>
              </c:pt>
            </c:numLit>
          </c:yVal>
          <c:bubbleSize>
            <c:numLit>
              <c:formatCode>General</c:formatCode>
              <c:ptCount val="11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numLit>
          </c:bubbleSize>
          <c:bubble3D val="0"/>
          <c:extLst>
            <c:ext xmlns:c16="http://schemas.microsoft.com/office/drawing/2014/chart" uri="{C3380CC4-5D6E-409C-BE32-E72D297353CC}">
              <c16:uniqueId val="{00000009-AB2B-46F5-A4A9-5B2C444CA80C}"/>
            </c:ext>
          </c:extLst>
        </c:ser>
        <c:ser>
          <c:idx val="17"/>
          <c:order val="10"/>
          <c:tx>
            <c:strRef>
              <c:f>'Партии (единый округ)'!$V$78</c:f>
              <c:strCache>
                <c:ptCount val="1"/>
                <c:pt idx="0">
                  <c:v>Макс. размер кружка</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'Партии (единый округ)'!$L$100</c:f>
              <c:numCache>
                <c:formatCode>General</c:formatCode>
                <c:ptCount val="1"/>
                <c:pt idx="0">
                  <c:v>400</c:v>
                </c:pt>
              </c:numCache>
            </c:numRef>
          </c:bubbleSize>
          <c:bubble3D val="0"/>
          <c:extLst>
            <c:ext xmlns:c16="http://schemas.microsoft.com/office/drawing/2014/chart" uri="{C3380CC4-5D6E-409C-BE32-E72D297353CC}">
              <c16:uniqueId val="{0000000A-AB2B-46F5-A4A9-5B2C444CA80C}"/>
            </c:ext>
          </c:extLst>
        </c:ser>
        <c:dLbls>
          <c:showLegendKey val="0"/>
          <c:showVal val="0"/>
          <c:showCatName val="0"/>
          <c:showSerName val="0"/>
          <c:showPercent val="0"/>
          <c:showBubbleSize val="0"/>
        </c:dLbls>
        <c:bubbleScale val="10"/>
        <c:showNegBubbles val="0"/>
        <c:axId val="1404683680"/>
        <c:axId val="1467487472"/>
        <c:extLst>
          <c:ext xmlns:c15="http://schemas.microsoft.com/office/drawing/2012/chart" uri="{02D57815-91ED-43cb-92C2-25804820EDAC}">
            <c15:filteredBubbleSeries>
              <c15:ser>
                <c:idx val="8"/>
                <c:order val="0"/>
                <c:tx>
                  <c:strRef>
                    <c:extLst>
                      <c:ext uri="{02D57815-91ED-43cb-92C2-25804820EDAC}">
                        <c15:formulaRef>
                          <c15:sqref>'Партии (единый округ)'!$W$1</c15:sqref>
                        </c15:formulaRef>
                      </c:ext>
                    </c:extLst>
                    <c:strCache>
                      <c:ptCount val="1"/>
                      <c:pt idx="0">
                        <c:v>Коммунисты России</c:v>
                      </c:pt>
                    </c:strCache>
                  </c:strRef>
                </c:tx>
                <c:spPr>
                  <a:solidFill>
                    <a:srgbClr val="FF9999">
                      <a:alpha val="50000"/>
                    </a:srgbClr>
                  </a:solidFill>
                  <a:ln w="25400">
                    <a:noFill/>
                  </a:ln>
                </c:spPr>
                <c:invertIfNegative val="0"/>
                <c:xVal>
                  <c:numRef>
                    <c:extLst>
                      <c:ext uri="{02D57815-91ED-43cb-92C2-25804820EDAC}">
                        <c15:formulaRef>
                          <c15:sqref>'Партии (единый округ)'!$J$2:$J$41</c15:sqref>
                        </c15:formulaRef>
                      </c:ext>
                    </c:extLst>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extLst>
                      <c:ext uri="{02D57815-91ED-43cb-92C2-25804820EDAC}">
                        <c15:formulaRef>
                          <c15:sqref>'Партии (единый округ)'!$W$2:$W$41</c15:sqref>
                        </c15:formulaRef>
                      </c:ext>
                    </c:extLst>
                    <c:numCache>
                      <c:formatCode>0.0</c:formatCode>
                      <c:ptCount val="39"/>
                      <c:pt idx="0">
                        <c:v>7.4850299401197606</c:v>
                      </c:pt>
                      <c:pt idx="1">
                        <c:v>10.126582278481013</c:v>
                      </c:pt>
                      <c:pt idx="2">
                        <c:v>10.218978102189782</c:v>
                      </c:pt>
                      <c:pt idx="3">
                        <c:v>11.059907834101383</c:v>
                      </c:pt>
                      <c:pt idx="4">
                        <c:v>4.166666666666667</c:v>
                      </c:pt>
                      <c:pt idx="5">
                        <c:v>5</c:v>
                      </c:pt>
                      <c:pt idx="6">
                        <c:v>8.6206896551724146</c:v>
                      </c:pt>
                      <c:pt idx="7">
                        <c:v>6.6860465116279073</c:v>
                      </c:pt>
                      <c:pt idx="8">
                        <c:v>5.9233449477351918</c:v>
                      </c:pt>
                      <c:pt idx="9">
                        <c:v>8.0378250591016549</c:v>
                      </c:pt>
                      <c:pt idx="10">
                        <c:v>9.502262443438914</c:v>
                      </c:pt>
                      <c:pt idx="11">
                        <c:v>8.1232492997198875</c:v>
                      </c:pt>
                      <c:pt idx="12">
                        <c:v>10.704225352112676</c:v>
                      </c:pt>
                      <c:pt idx="13">
                        <c:v>6.8452380952380949</c:v>
                      </c:pt>
                      <c:pt idx="14">
                        <c:v>3.4852546916890081</c:v>
                      </c:pt>
                      <c:pt idx="15">
                        <c:v>9.1314031180400885</c:v>
                      </c:pt>
                      <c:pt idx="16">
                        <c:v>7.7441077441077439</c:v>
                      </c:pt>
                      <c:pt idx="17">
                        <c:v>5.283018867924528</c:v>
                      </c:pt>
                      <c:pt idx="18">
                        <c:v>1.3245033112582782</c:v>
                      </c:pt>
                      <c:pt idx="19">
                        <c:v>10</c:v>
                      </c:pt>
                      <c:pt idx="20">
                        <c:v>7.2186836518046711</c:v>
                      </c:pt>
                      <c:pt idx="21">
                        <c:v>6.5843621399176957</c:v>
                      </c:pt>
                      <c:pt idx="22">
                        <c:v>7.9069767441860463</c:v>
                      </c:pt>
                      <c:pt idx="23">
                        <c:v>3.8690476190476191</c:v>
                      </c:pt>
                      <c:pt idx="24">
                        <c:v>9.3181818181818183</c:v>
                      </c:pt>
                      <c:pt idx="25">
                        <c:v>9.1549295774647881</c:v>
                      </c:pt>
                      <c:pt idx="26">
                        <c:v>13.300492610837438</c:v>
                      </c:pt>
                      <c:pt idx="27">
                        <c:v>8.9285714285714288</c:v>
                      </c:pt>
                      <c:pt idx="28">
                        <c:v>9.2009685230024214</c:v>
                      </c:pt>
                      <c:pt idx="29">
                        <c:v>7.4803149606299213</c:v>
                      </c:pt>
                      <c:pt idx="30">
                        <c:v>8.6355785837651116</c:v>
                      </c:pt>
                      <c:pt idx="31">
                        <c:v>6.5088757396449708</c:v>
                      </c:pt>
                      <c:pt idx="32">
                        <c:v>10.344827586206897</c:v>
                      </c:pt>
                      <c:pt idx="33">
                        <c:v>11.304347826086957</c:v>
                      </c:pt>
                      <c:pt idx="34">
                        <c:v>5.882352941176471</c:v>
                      </c:pt>
                      <c:pt idx="35">
                        <c:v>7.9601990049751246</c:v>
                      </c:pt>
                      <c:pt idx="36">
                        <c:v>6.2913907284768209</c:v>
                      </c:pt>
                      <c:pt idx="37">
                        <c:v>9.7457627118644066</c:v>
                      </c:pt>
                      <c:pt idx="38">
                        <c:v>1.9762845849802371</c:v>
                      </c:pt>
                    </c:numCache>
                  </c:numRef>
                </c:yVal>
                <c:bubbleSize>
                  <c:numRef>
                    <c:extLst>
                      <c:ext uri="{02D57815-91ED-43cb-92C2-25804820EDAC}">
                        <c15:formulaRef>
                          <c15:sqref>'Партии (единый округ)'!$E$2:$E$41</c15:sqref>
                        </c15:formulaRef>
                      </c:ext>
                    </c:extLst>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c:ext xmlns:c16="http://schemas.microsoft.com/office/drawing/2014/chart" uri="{C3380CC4-5D6E-409C-BE32-E72D297353CC}">
                    <c16:uniqueId val="{00000000-AB2B-46F5-A4A9-5B2C444CA80C}"/>
                  </c:ext>
                </c:extLst>
              </c15:ser>
            </c15:filteredBubbleSeries>
            <c15:filteredBubbleSeries>
              <c15:ser>
                <c:idx val="10"/>
                <c:order val="2"/>
                <c:tx>
                  <c:strRef>
                    <c:extLst xmlns:c15="http://schemas.microsoft.com/office/drawing/2012/chart">
                      <c:ext xmlns:c15="http://schemas.microsoft.com/office/drawing/2012/chart" uri="{02D57815-91ED-43cb-92C2-25804820EDAC}">
                        <c15:formulaRef>
                          <c15:sqref>'Партии (единый округ)'!$AA$1</c15:sqref>
                        </c15:formulaRef>
                      </c:ext>
                    </c:extLst>
                    <c:strCache>
                      <c:ptCount val="1"/>
                      <c:pt idx="0">
                        <c:v>Пенсионеров</c:v>
                      </c:pt>
                    </c:strCache>
                  </c:strRef>
                </c:tx>
                <c:spPr>
                  <a:solidFill>
                    <a:srgbClr val="C89600">
                      <a:alpha val="50000"/>
                    </a:srgbClr>
                  </a:solidFill>
                  <a:ln w="25400">
                    <a:noFill/>
                  </a:ln>
                  <a:effectLst/>
                </c:spPr>
                <c:invertIfNegative val="0"/>
                <c:xVal>
                  <c:numRef>
                    <c:extLst xmlns:c15="http://schemas.microsoft.com/office/drawing/2012/chart">
                      <c:ext xmlns:c15="http://schemas.microsoft.com/office/drawing/2012/chart" uri="{02D57815-91ED-43cb-92C2-25804820EDAC}">
                        <c15:formulaRef>
                          <c15:sqref>'Партии (единый округ)'!$J$2:$J$41</c15:sqref>
                        </c15:formulaRef>
                      </c:ext>
                    </c:extLst>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extLst xmlns:c15="http://schemas.microsoft.com/office/drawing/2012/chart">
                      <c:ext xmlns:c15="http://schemas.microsoft.com/office/drawing/2012/chart" uri="{02D57815-91ED-43cb-92C2-25804820EDAC}">
                        <c15:formulaRef>
                          <c15:sqref>'Партии (единый округ)'!$AA$2:$AA$41</c15:sqref>
                        </c15:formulaRef>
                      </c:ext>
                    </c:extLst>
                    <c:numCache>
                      <c:formatCode>0.0</c:formatCode>
                      <c:ptCount val="39"/>
                      <c:pt idx="0">
                        <c:v>9.2814371257485035</c:v>
                      </c:pt>
                      <c:pt idx="1">
                        <c:v>6.1181434599156121</c:v>
                      </c:pt>
                      <c:pt idx="2">
                        <c:v>9.4890510948905114</c:v>
                      </c:pt>
                      <c:pt idx="3">
                        <c:v>11.059907834101383</c:v>
                      </c:pt>
                      <c:pt idx="4">
                        <c:v>13.636363636363637</c:v>
                      </c:pt>
                      <c:pt idx="5">
                        <c:v>5</c:v>
                      </c:pt>
                      <c:pt idx="6">
                        <c:v>10.775862068965518</c:v>
                      </c:pt>
                      <c:pt idx="7">
                        <c:v>3.4883720930232558</c:v>
                      </c:pt>
                      <c:pt idx="8">
                        <c:v>9.0592334494773521</c:v>
                      </c:pt>
                      <c:pt idx="9">
                        <c:v>7.5650118203309695</c:v>
                      </c:pt>
                      <c:pt idx="10">
                        <c:v>7.4660633484162897</c:v>
                      </c:pt>
                      <c:pt idx="11">
                        <c:v>15.686274509803921</c:v>
                      </c:pt>
                      <c:pt idx="12">
                        <c:v>14.366197183098592</c:v>
                      </c:pt>
                      <c:pt idx="13">
                        <c:v>11.607142857142858</c:v>
                      </c:pt>
                      <c:pt idx="14">
                        <c:v>12.868632707774799</c:v>
                      </c:pt>
                      <c:pt idx="15">
                        <c:v>15.367483296213809</c:v>
                      </c:pt>
                      <c:pt idx="16">
                        <c:v>8.4175084175084169</c:v>
                      </c:pt>
                      <c:pt idx="17">
                        <c:v>6.2264150943396226</c:v>
                      </c:pt>
                      <c:pt idx="18">
                        <c:v>12.582781456953642</c:v>
                      </c:pt>
                      <c:pt idx="19">
                        <c:v>7.6190476190476186</c:v>
                      </c:pt>
                      <c:pt idx="20">
                        <c:v>6.369426751592357</c:v>
                      </c:pt>
                      <c:pt idx="21">
                        <c:v>10.699588477366255</c:v>
                      </c:pt>
                      <c:pt idx="22">
                        <c:v>8.8372093023255811</c:v>
                      </c:pt>
                      <c:pt idx="23">
                        <c:v>10.714285714285714</c:v>
                      </c:pt>
                      <c:pt idx="24">
                        <c:v>10.909090909090908</c:v>
                      </c:pt>
                      <c:pt idx="25">
                        <c:v>8.215962441314554</c:v>
                      </c:pt>
                      <c:pt idx="26">
                        <c:v>9.3596059113300498</c:v>
                      </c:pt>
                      <c:pt idx="27">
                        <c:v>11.160714285714286</c:v>
                      </c:pt>
                      <c:pt idx="28">
                        <c:v>7.5060532687651333</c:v>
                      </c:pt>
                      <c:pt idx="29">
                        <c:v>12.204724409448819</c:v>
                      </c:pt>
                      <c:pt idx="30">
                        <c:v>13.12607944732297</c:v>
                      </c:pt>
                      <c:pt idx="31">
                        <c:v>12.42603550295858</c:v>
                      </c:pt>
                      <c:pt idx="32">
                        <c:v>10.919540229885058</c:v>
                      </c:pt>
                      <c:pt idx="33">
                        <c:v>6.9565217391304346</c:v>
                      </c:pt>
                      <c:pt idx="34">
                        <c:v>6.9852941176470589</c:v>
                      </c:pt>
                      <c:pt idx="35">
                        <c:v>11.442786069651742</c:v>
                      </c:pt>
                      <c:pt idx="36">
                        <c:v>10.264900662251655</c:v>
                      </c:pt>
                      <c:pt idx="37">
                        <c:v>14.40677966101695</c:v>
                      </c:pt>
                      <c:pt idx="38">
                        <c:v>1.5810276679841897</c:v>
                      </c:pt>
                    </c:numCache>
                  </c:numRef>
                </c:yVal>
                <c:bubbleSize>
                  <c:numRef>
                    <c:extLst xmlns:c15="http://schemas.microsoft.com/office/drawing/2012/chart">
                      <c:ext xmlns:c15="http://schemas.microsoft.com/office/drawing/2012/chart" uri="{02D57815-91ED-43cb-92C2-25804820EDAC}">
                        <c15:formulaRef>
                          <c15:sqref>'Партии (единый округ)'!$E$2:$E$41</c15:sqref>
                        </c15:formulaRef>
                      </c:ext>
                    </c:extLst>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xmlns:c15="http://schemas.microsoft.com/office/drawing/2012/chart">
                  <c:ext xmlns:c16="http://schemas.microsoft.com/office/drawing/2014/chart" uri="{C3380CC4-5D6E-409C-BE32-E72D297353CC}">
                    <c16:uniqueId val="{00000002-AB2B-46F5-A4A9-5B2C444CA80C}"/>
                  </c:ext>
                </c:extLst>
              </c15:ser>
            </c15:filteredBubbleSeries>
            <c15:filteredBubbleSeries>
              <c15:ser>
                <c:idx val="11"/>
                <c:order val="3"/>
                <c:tx>
                  <c:strRef>
                    <c:extLst xmlns:c15="http://schemas.microsoft.com/office/drawing/2012/chart">
                      <c:ext xmlns:c15="http://schemas.microsoft.com/office/drawing/2012/chart" uri="{02D57815-91ED-43cb-92C2-25804820EDAC}">
                        <c15:formulaRef>
                          <c15:sqref>'Партии (единый округ)'!$AC$1</c15:sqref>
                        </c15:formulaRef>
                      </c:ext>
                    </c:extLst>
                    <c:strCache>
                      <c:ptCount val="1"/>
                      <c:pt idx="0">
                        <c:v>ЛДПР</c:v>
                      </c:pt>
                    </c:strCache>
                  </c:strRef>
                </c:tx>
                <c:spPr>
                  <a:solidFill>
                    <a:srgbClr val="FF9900">
                      <a:alpha val="49804"/>
                    </a:srgbClr>
                  </a:solidFill>
                  <a:ln w="25400">
                    <a:noFill/>
                  </a:ln>
                  <a:effectLst/>
                </c:spPr>
                <c:invertIfNegative val="0"/>
                <c:xVal>
                  <c:numRef>
                    <c:extLst xmlns:c15="http://schemas.microsoft.com/office/drawing/2012/chart">
                      <c:ext xmlns:c15="http://schemas.microsoft.com/office/drawing/2012/chart" uri="{02D57815-91ED-43cb-92C2-25804820EDAC}">
                        <c15:formulaRef>
                          <c15:sqref>'Партии (единый округ)'!$J$2:$J$41</c15:sqref>
                        </c15:formulaRef>
                      </c:ext>
                    </c:extLst>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extLst xmlns:c15="http://schemas.microsoft.com/office/drawing/2012/chart">
                      <c:ext xmlns:c15="http://schemas.microsoft.com/office/drawing/2012/chart" uri="{02D57815-91ED-43cb-92C2-25804820EDAC}">
                        <c15:formulaRef>
                          <c15:sqref>'Партии (единый округ)'!$AC$2:$AC$41</c15:sqref>
                        </c15:formulaRef>
                      </c:ext>
                    </c:extLst>
                    <c:numCache>
                      <c:formatCode>0.0</c:formatCode>
                      <c:ptCount val="39"/>
                      <c:pt idx="0">
                        <c:v>4.4910179640718564</c:v>
                      </c:pt>
                      <c:pt idx="1">
                        <c:v>6.7510548523206753</c:v>
                      </c:pt>
                      <c:pt idx="2">
                        <c:v>11.678832116788321</c:v>
                      </c:pt>
                      <c:pt idx="3">
                        <c:v>9.67741935483871</c:v>
                      </c:pt>
                      <c:pt idx="4">
                        <c:v>9.0909090909090917</c:v>
                      </c:pt>
                      <c:pt idx="5">
                        <c:v>7.5</c:v>
                      </c:pt>
                      <c:pt idx="6">
                        <c:v>9.0517241379310338</c:v>
                      </c:pt>
                      <c:pt idx="7">
                        <c:v>3.1976744186046511</c:v>
                      </c:pt>
                      <c:pt idx="8">
                        <c:v>3.1358885017421603</c:v>
                      </c:pt>
                      <c:pt idx="9">
                        <c:v>9.9290780141843964</c:v>
                      </c:pt>
                      <c:pt idx="10">
                        <c:v>6.3348416289592757</c:v>
                      </c:pt>
                      <c:pt idx="11">
                        <c:v>8.4033613445378155</c:v>
                      </c:pt>
                      <c:pt idx="12">
                        <c:v>5.352112676056338</c:v>
                      </c:pt>
                      <c:pt idx="13">
                        <c:v>4.4642857142857144</c:v>
                      </c:pt>
                      <c:pt idx="14">
                        <c:v>2.9490616621983916</c:v>
                      </c:pt>
                      <c:pt idx="15">
                        <c:v>9.5768374164810695</c:v>
                      </c:pt>
                      <c:pt idx="16">
                        <c:v>5.7239057239057241</c:v>
                      </c:pt>
                      <c:pt idx="17">
                        <c:v>4.716981132075472</c:v>
                      </c:pt>
                      <c:pt idx="18">
                        <c:v>3.3112582781456954</c:v>
                      </c:pt>
                      <c:pt idx="19">
                        <c:v>7.1428571428571432</c:v>
                      </c:pt>
                      <c:pt idx="20">
                        <c:v>6.369426751592357</c:v>
                      </c:pt>
                      <c:pt idx="21">
                        <c:v>2.4691358024691357</c:v>
                      </c:pt>
                      <c:pt idx="22">
                        <c:v>8.3720930232558146</c:v>
                      </c:pt>
                      <c:pt idx="23">
                        <c:v>4.7619047619047619</c:v>
                      </c:pt>
                      <c:pt idx="24">
                        <c:v>5.2272727272727275</c:v>
                      </c:pt>
                      <c:pt idx="25">
                        <c:v>5.164319248826291</c:v>
                      </c:pt>
                      <c:pt idx="26">
                        <c:v>4.9261083743842367</c:v>
                      </c:pt>
                      <c:pt idx="27">
                        <c:v>7.5892857142857144</c:v>
                      </c:pt>
                      <c:pt idx="28">
                        <c:v>3.1476997578692494</c:v>
                      </c:pt>
                      <c:pt idx="29">
                        <c:v>4.7244094488188972</c:v>
                      </c:pt>
                      <c:pt idx="30">
                        <c:v>7.7720207253886011</c:v>
                      </c:pt>
                      <c:pt idx="31">
                        <c:v>3.5502958579881656</c:v>
                      </c:pt>
                      <c:pt idx="32">
                        <c:v>10.919540229885058</c:v>
                      </c:pt>
                      <c:pt idx="33">
                        <c:v>14.782608695652174</c:v>
                      </c:pt>
                      <c:pt idx="34">
                        <c:v>7.3529411764705879</c:v>
                      </c:pt>
                      <c:pt idx="35">
                        <c:v>8.9552238805970141</c:v>
                      </c:pt>
                      <c:pt idx="36">
                        <c:v>3.9735099337748343</c:v>
                      </c:pt>
                      <c:pt idx="37">
                        <c:v>5.5084745762711869</c:v>
                      </c:pt>
                      <c:pt idx="38">
                        <c:v>1.9762845849802371</c:v>
                      </c:pt>
                    </c:numCache>
                  </c:numRef>
                </c:yVal>
                <c:bubbleSize>
                  <c:numRef>
                    <c:extLst xmlns:c15="http://schemas.microsoft.com/office/drawing/2012/chart">
                      <c:ext xmlns:c15="http://schemas.microsoft.com/office/drawing/2012/chart" uri="{02D57815-91ED-43cb-92C2-25804820EDAC}">
                        <c15:formulaRef>
                          <c15:sqref>'Партии (единый округ)'!$E$2:$E$41</c15:sqref>
                        </c15:formulaRef>
                      </c:ext>
                    </c:extLst>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xmlns:c15="http://schemas.microsoft.com/office/drawing/2012/chart">
                  <c:ext xmlns:c16="http://schemas.microsoft.com/office/drawing/2014/chart" uri="{C3380CC4-5D6E-409C-BE32-E72D297353CC}">
                    <c16:uniqueId val="{00000003-AB2B-46F5-A4A9-5B2C444CA80C}"/>
                  </c:ext>
                </c:extLst>
              </c15:ser>
            </c15:filteredBubbleSeries>
            <c15:filteredBubbleSeries>
              <c15:ser>
                <c:idx val="12"/>
                <c:order val="4"/>
                <c:tx>
                  <c:strRef>
                    <c:extLst xmlns:c15="http://schemas.microsoft.com/office/drawing/2012/chart">
                      <c:ext xmlns:c15="http://schemas.microsoft.com/office/drawing/2012/chart" uri="{02D57815-91ED-43cb-92C2-25804820EDAC}">
                        <c15:formulaRef>
                          <c15:sqref>'Партии (единый округ)'!$AE$1</c15:sqref>
                        </c15:formulaRef>
                      </c:ext>
                    </c:extLst>
                    <c:strCache>
                      <c:ptCount val="1"/>
                      <c:pt idx="0">
                        <c:v>Новые люди</c:v>
                      </c:pt>
                    </c:strCache>
                  </c:strRef>
                </c:tx>
                <c:spPr>
                  <a:solidFill>
                    <a:srgbClr val="00FFFF">
                      <a:alpha val="50000"/>
                    </a:srgbClr>
                  </a:solidFill>
                  <a:ln w="25400">
                    <a:noFill/>
                  </a:ln>
                </c:spPr>
                <c:invertIfNegative val="0"/>
                <c:xVal>
                  <c:numRef>
                    <c:extLst xmlns:c15="http://schemas.microsoft.com/office/drawing/2012/chart">
                      <c:ext xmlns:c15="http://schemas.microsoft.com/office/drawing/2012/chart" uri="{02D57815-91ED-43cb-92C2-25804820EDAC}">
                        <c15:formulaRef>
                          <c15:sqref>'Партии (единый округ)'!$J$2:$J$41</c15:sqref>
                        </c15:formulaRef>
                      </c:ext>
                    </c:extLst>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extLst xmlns:c15="http://schemas.microsoft.com/office/drawing/2012/chart">
                      <c:ext xmlns:c15="http://schemas.microsoft.com/office/drawing/2012/chart" uri="{02D57815-91ED-43cb-92C2-25804820EDAC}">
                        <c15:formulaRef>
                          <c15:sqref>'Партии (единый округ)'!$AE$2:$AE$41</c15:sqref>
                        </c15:formulaRef>
                      </c:ext>
                    </c:extLst>
                    <c:numCache>
                      <c:formatCode>0.0</c:formatCode>
                      <c:ptCount val="39"/>
                      <c:pt idx="0">
                        <c:v>4.1916167664670656</c:v>
                      </c:pt>
                      <c:pt idx="1">
                        <c:v>1.4767932489451476</c:v>
                      </c:pt>
                      <c:pt idx="2">
                        <c:v>4.3795620437956204</c:v>
                      </c:pt>
                      <c:pt idx="3">
                        <c:v>1.3824884792626728</c:v>
                      </c:pt>
                      <c:pt idx="4">
                        <c:v>2.2727272727272729</c:v>
                      </c:pt>
                      <c:pt idx="5">
                        <c:v>0</c:v>
                      </c:pt>
                      <c:pt idx="6">
                        <c:v>4.3103448275862073</c:v>
                      </c:pt>
                      <c:pt idx="7">
                        <c:v>0.87209302325581395</c:v>
                      </c:pt>
                      <c:pt idx="8">
                        <c:v>2.4390243902439024</c:v>
                      </c:pt>
                      <c:pt idx="9">
                        <c:v>2.3640661938534278</c:v>
                      </c:pt>
                      <c:pt idx="10">
                        <c:v>5.882352941176471</c:v>
                      </c:pt>
                      <c:pt idx="11">
                        <c:v>3.6414565826330532</c:v>
                      </c:pt>
                      <c:pt idx="12">
                        <c:v>2.2535211267605635</c:v>
                      </c:pt>
                      <c:pt idx="13">
                        <c:v>4.4642857142857144</c:v>
                      </c:pt>
                      <c:pt idx="14">
                        <c:v>6.4343163538873993</c:v>
                      </c:pt>
                      <c:pt idx="15">
                        <c:v>6.6815144766146997</c:v>
                      </c:pt>
                      <c:pt idx="16">
                        <c:v>2.3569023569023568</c:v>
                      </c:pt>
                      <c:pt idx="17">
                        <c:v>4.3396226415094343</c:v>
                      </c:pt>
                      <c:pt idx="18">
                        <c:v>3.9735099337748343</c:v>
                      </c:pt>
                      <c:pt idx="19">
                        <c:v>4.2857142857142856</c:v>
                      </c:pt>
                      <c:pt idx="20">
                        <c:v>4.4585987261146496</c:v>
                      </c:pt>
                      <c:pt idx="21">
                        <c:v>4.5267489711934159</c:v>
                      </c:pt>
                      <c:pt idx="22">
                        <c:v>2.3255813953488373</c:v>
                      </c:pt>
                      <c:pt idx="23">
                        <c:v>2.3809523809523809</c:v>
                      </c:pt>
                      <c:pt idx="24">
                        <c:v>3.4090909090909092</c:v>
                      </c:pt>
                      <c:pt idx="25">
                        <c:v>3.5211267605633805</c:v>
                      </c:pt>
                      <c:pt idx="26">
                        <c:v>5.9113300492610836</c:v>
                      </c:pt>
                      <c:pt idx="27">
                        <c:v>3.125</c:v>
                      </c:pt>
                      <c:pt idx="28">
                        <c:v>1.937046004842615</c:v>
                      </c:pt>
                      <c:pt idx="29">
                        <c:v>3.5433070866141732</c:v>
                      </c:pt>
                      <c:pt idx="30">
                        <c:v>5.8721934369602762</c:v>
                      </c:pt>
                      <c:pt idx="31">
                        <c:v>4.7337278106508878</c:v>
                      </c:pt>
                      <c:pt idx="32">
                        <c:v>5.7471264367816088</c:v>
                      </c:pt>
                      <c:pt idx="33">
                        <c:v>3.4782608695652173</c:v>
                      </c:pt>
                      <c:pt idx="34">
                        <c:v>4.4117647058823533</c:v>
                      </c:pt>
                      <c:pt idx="35">
                        <c:v>1.9900497512437811</c:v>
                      </c:pt>
                      <c:pt idx="36">
                        <c:v>4.6357615894039732</c:v>
                      </c:pt>
                      <c:pt idx="37">
                        <c:v>2.5423728813559321</c:v>
                      </c:pt>
                      <c:pt idx="38">
                        <c:v>1.1857707509881423</c:v>
                      </c:pt>
                    </c:numCache>
                  </c:numRef>
                </c:yVal>
                <c:bubbleSize>
                  <c:numRef>
                    <c:extLst xmlns:c15="http://schemas.microsoft.com/office/drawing/2012/chart">
                      <c:ext xmlns:c15="http://schemas.microsoft.com/office/drawing/2012/chart" uri="{02D57815-91ED-43cb-92C2-25804820EDAC}">
                        <c15:formulaRef>
                          <c15:sqref>'Партии (единый округ)'!$E$2:$E$41</c15:sqref>
                        </c15:formulaRef>
                      </c:ext>
                    </c:extLst>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xmlns:c15="http://schemas.microsoft.com/office/drawing/2012/chart">
                  <c:ext xmlns:c16="http://schemas.microsoft.com/office/drawing/2014/chart" uri="{C3380CC4-5D6E-409C-BE32-E72D297353CC}">
                    <c16:uniqueId val="{00000004-AB2B-46F5-A4A9-5B2C444CA80C}"/>
                  </c:ext>
                </c:extLst>
              </c15:ser>
            </c15:filteredBubbleSeries>
            <c15:filteredBubbleSeries>
              <c15:ser>
                <c:idx val="14"/>
                <c:order val="6"/>
                <c:tx>
                  <c:strRef>
                    <c:extLst xmlns:c15="http://schemas.microsoft.com/office/drawing/2012/chart">
                      <c:ext xmlns:c15="http://schemas.microsoft.com/office/drawing/2012/chart" uri="{02D57815-91ED-43cb-92C2-25804820EDAC}">
                        <c15:formulaRef>
                          <c15:sqref>'Партии (единый округ)'!$AI$1</c15:sqref>
                        </c15:formulaRef>
                      </c:ext>
                    </c:extLst>
                    <c:strCache>
                      <c:ptCount val="1"/>
                      <c:pt idx="0">
                        <c:v>Родина</c:v>
                      </c:pt>
                    </c:strCache>
                  </c:strRef>
                </c:tx>
                <c:spPr>
                  <a:solidFill>
                    <a:srgbClr val="9900FF">
                      <a:alpha val="50000"/>
                    </a:srgbClr>
                  </a:solidFill>
                  <a:ln w="25400">
                    <a:noFill/>
                  </a:ln>
                  <a:effectLst/>
                </c:spPr>
                <c:invertIfNegative val="0"/>
                <c:xVal>
                  <c:numRef>
                    <c:extLst xmlns:c15="http://schemas.microsoft.com/office/drawing/2012/chart">
                      <c:ext xmlns:c15="http://schemas.microsoft.com/office/drawing/2012/chart" uri="{02D57815-91ED-43cb-92C2-25804820EDAC}">
                        <c15:formulaRef>
                          <c15:sqref>'Партии (единый округ)'!$J$2:$J$41</c15:sqref>
                        </c15:formulaRef>
                      </c:ext>
                    </c:extLst>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extLst xmlns:c15="http://schemas.microsoft.com/office/drawing/2012/chart">
                      <c:ext xmlns:c15="http://schemas.microsoft.com/office/drawing/2012/chart" uri="{02D57815-91ED-43cb-92C2-25804820EDAC}">
                        <c15:formulaRef>
                          <c15:sqref>'Партии (единый округ)'!$AI$2:$AI$41</c15:sqref>
                        </c15:formulaRef>
                      </c:ext>
                    </c:extLst>
                    <c:numCache>
                      <c:formatCode>0.0</c:formatCode>
                      <c:ptCount val="39"/>
                      <c:pt idx="0">
                        <c:v>20.95808383233533</c:v>
                      </c:pt>
                      <c:pt idx="1">
                        <c:v>3.5864978902953588</c:v>
                      </c:pt>
                      <c:pt idx="2">
                        <c:v>0.72992700729927007</c:v>
                      </c:pt>
                      <c:pt idx="3">
                        <c:v>1.3824884792626728</c:v>
                      </c:pt>
                      <c:pt idx="4">
                        <c:v>0.37878787878787878</c:v>
                      </c:pt>
                      <c:pt idx="5">
                        <c:v>5</c:v>
                      </c:pt>
                      <c:pt idx="6">
                        <c:v>1.2931034482758621</c:v>
                      </c:pt>
                      <c:pt idx="7">
                        <c:v>9.5930232558139537</c:v>
                      </c:pt>
                      <c:pt idx="8">
                        <c:v>0.69686411149825789</c:v>
                      </c:pt>
                      <c:pt idx="9">
                        <c:v>2.8368794326241136</c:v>
                      </c:pt>
                      <c:pt idx="10">
                        <c:v>5.2036199095022626</c:v>
                      </c:pt>
                      <c:pt idx="11">
                        <c:v>4.7619047619047619</c:v>
                      </c:pt>
                      <c:pt idx="12">
                        <c:v>6.76056338028169</c:v>
                      </c:pt>
                      <c:pt idx="13">
                        <c:v>4.166666666666667</c:v>
                      </c:pt>
                      <c:pt idx="14">
                        <c:v>2.4128686327077746</c:v>
                      </c:pt>
                      <c:pt idx="15">
                        <c:v>5.1224944320712691</c:v>
                      </c:pt>
                      <c:pt idx="16">
                        <c:v>2.3569023569023568</c:v>
                      </c:pt>
                      <c:pt idx="17">
                        <c:v>3.9622641509433962</c:v>
                      </c:pt>
                      <c:pt idx="18">
                        <c:v>1.3245033112582782</c:v>
                      </c:pt>
                      <c:pt idx="19">
                        <c:v>4.7619047619047619</c:v>
                      </c:pt>
                      <c:pt idx="20">
                        <c:v>2.335456475583864</c:v>
                      </c:pt>
                      <c:pt idx="21">
                        <c:v>3.2921810699588478</c:v>
                      </c:pt>
                      <c:pt idx="22">
                        <c:v>2.7906976744186047</c:v>
                      </c:pt>
                      <c:pt idx="23">
                        <c:v>2.6785714285714284</c:v>
                      </c:pt>
                      <c:pt idx="24">
                        <c:v>2.0454545454545454</c:v>
                      </c:pt>
                      <c:pt idx="25">
                        <c:v>3.5211267605633805</c:v>
                      </c:pt>
                      <c:pt idx="26">
                        <c:v>1.4778325123152709</c:v>
                      </c:pt>
                      <c:pt idx="27">
                        <c:v>4.0178571428571432</c:v>
                      </c:pt>
                      <c:pt idx="28">
                        <c:v>0.96852300242130751</c:v>
                      </c:pt>
                      <c:pt idx="29">
                        <c:v>1.1811023622047243</c:v>
                      </c:pt>
                      <c:pt idx="30">
                        <c:v>2.4179620034542313</c:v>
                      </c:pt>
                      <c:pt idx="31">
                        <c:v>1.1834319526627219</c:v>
                      </c:pt>
                      <c:pt idx="32">
                        <c:v>3.4482758620689653</c:v>
                      </c:pt>
                      <c:pt idx="33">
                        <c:v>0.86956521739130432</c:v>
                      </c:pt>
                      <c:pt idx="34">
                        <c:v>1.4705882352941178</c:v>
                      </c:pt>
                      <c:pt idx="35">
                        <c:v>0.99502487562189057</c:v>
                      </c:pt>
                      <c:pt idx="36">
                        <c:v>1.9867549668874172</c:v>
                      </c:pt>
                      <c:pt idx="37">
                        <c:v>2.9661016949152543</c:v>
                      </c:pt>
                      <c:pt idx="38">
                        <c:v>0.39525691699604742</c:v>
                      </c:pt>
                    </c:numCache>
                  </c:numRef>
                </c:yVal>
                <c:bubbleSize>
                  <c:numRef>
                    <c:extLst xmlns:c15="http://schemas.microsoft.com/office/drawing/2012/chart">
                      <c:ext xmlns:c15="http://schemas.microsoft.com/office/drawing/2012/chart" uri="{02D57815-91ED-43cb-92C2-25804820EDAC}">
                        <c15:formulaRef>
                          <c15:sqref>'Партии (единый округ)'!$E$2:$E$41</c15:sqref>
                        </c15:formulaRef>
                      </c:ext>
                    </c:extLst>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xmlns:c15="http://schemas.microsoft.com/office/drawing/2012/chart">
                  <c:ext xmlns:c16="http://schemas.microsoft.com/office/drawing/2014/chart" uri="{C3380CC4-5D6E-409C-BE32-E72D297353CC}">
                    <c16:uniqueId val="{00000006-AB2B-46F5-A4A9-5B2C444CA80C}"/>
                  </c:ext>
                </c:extLst>
              </c15:ser>
            </c15:filteredBubbleSeries>
            <c15:filteredBubbleSeries>
              <c15:ser>
                <c:idx val="0"/>
                <c:order val="7"/>
                <c:tx>
                  <c:strRef>
                    <c:extLst xmlns:c15="http://schemas.microsoft.com/office/drawing/2012/chart">
                      <c:ext xmlns:c15="http://schemas.microsoft.com/office/drawing/2012/chart" uri="{02D57815-91ED-43cb-92C2-25804820EDAC}">
                        <c15:formulaRef>
                          <c15:sqref>'Партии (единый округ)'!$R$1</c15:sqref>
                        </c15:formulaRef>
                      </c:ext>
                    </c:extLst>
                    <c:strCache>
                      <c:ptCount val="1"/>
                      <c:pt idx="0">
                        <c:v>Недействительных</c:v>
                      </c:pt>
                    </c:strCache>
                  </c:strRef>
                </c:tx>
                <c:spPr>
                  <a:noFill/>
                  <a:ln w="6350">
                    <a:solidFill>
                      <a:srgbClr val="000000"/>
                    </a:solidFill>
                  </a:ln>
                </c:spPr>
                <c:invertIfNegative val="0"/>
                <c:xVal>
                  <c:numRef>
                    <c:extLst xmlns:c15="http://schemas.microsoft.com/office/drawing/2012/chart">
                      <c:ext xmlns:c15="http://schemas.microsoft.com/office/drawing/2012/chart" uri="{02D57815-91ED-43cb-92C2-25804820EDAC}">
                        <c15:formulaRef>
                          <c15:sqref>'Партии (единый округ)'!$J$2:$J$41</c15:sqref>
                        </c15:formulaRef>
                      </c:ext>
                    </c:extLst>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extLst xmlns:c15="http://schemas.microsoft.com/office/drawing/2012/chart">
                      <c:ext xmlns:c15="http://schemas.microsoft.com/office/drawing/2012/chart" uri="{02D57815-91ED-43cb-92C2-25804820EDAC}">
                        <c15:formulaRef>
                          <c15:sqref>'Партии (единый округ)'!$R$2:$R$41</c15:sqref>
                        </c15:formulaRef>
                      </c:ext>
                    </c:extLst>
                    <c:numCache>
                      <c:formatCode>0.0</c:formatCode>
                      <c:ptCount val="39"/>
                      <c:pt idx="0">
                        <c:v>5.6886227544910177</c:v>
                      </c:pt>
                      <c:pt idx="1">
                        <c:v>2.9535864978902953</c:v>
                      </c:pt>
                      <c:pt idx="2">
                        <c:v>5.1094890510948909</c:v>
                      </c:pt>
                      <c:pt idx="3">
                        <c:v>2.7649769585253456</c:v>
                      </c:pt>
                      <c:pt idx="4">
                        <c:v>1.5151515151515151</c:v>
                      </c:pt>
                      <c:pt idx="5">
                        <c:v>0</c:v>
                      </c:pt>
                      <c:pt idx="6">
                        <c:v>3.4482758620689653</c:v>
                      </c:pt>
                      <c:pt idx="7">
                        <c:v>7.8488372093023253</c:v>
                      </c:pt>
                      <c:pt idx="8">
                        <c:v>2.7874564459930316</c:v>
                      </c:pt>
                      <c:pt idx="9">
                        <c:v>4.2553191489361701</c:v>
                      </c:pt>
                      <c:pt idx="10">
                        <c:v>5.882352941176471</c:v>
                      </c:pt>
                      <c:pt idx="11">
                        <c:v>3.6414565826330532</c:v>
                      </c:pt>
                      <c:pt idx="12">
                        <c:v>1.6901408450704225</c:v>
                      </c:pt>
                      <c:pt idx="13">
                        <c:v>3.8690476190476191</c:v>
                      </c:pt>
                      <c:pt idx="14">
                        <c:v>4.9597855227882039</c:v>
                      </c:pt>
                      <c:pt idx="15">
                        <c:v>5.3452115812917596</c:v>
                      </c:pt>
                      <c:pt idx="16">
                        <c:v>0.67340067340067344</c:v>
                      </c:pt>
                      <c:pt idx="17">
                        <c:v>0.94339622641509435</c:v>
                      </c:pt>
                      <c:pt idx="18">
                        <c:v>3.3112582781456954</c:v>
                      </c:pt>
                      <c:pt idx="19">
                        <c:v>3.8095238095238093</c:v>
                      </c:pt>
                      <c:pt idx="20">
                        <c:v>2.5477707006369426</c:v>
                      </c:pt>
                      <c:pt idx="21">
                        <c:v>4.1152263374485596</c:v>
                      </c:pt>
                      <c:pt idx="22">
                        <c:v>4.1860465116279073</c:v>
                      </c:pt>
                      <c:pt idx="23">
                        <c:v>5.9523809523809526</c:v>
                      </c:pt>
                      <c:pt idx="24">
                        <c:v>5.4545454545454541</c:v>
                      </c:pt>
                      <c:pt idx="25">
                        <c:v>4.929577464788732</c:v>
                      </c:pt>
                      <c:pt idx="26">
                        <c:v>2.4630541871921183</c:v>
                      </c:pt>
                      <c:pt idx="27">
                        <c:v>2.6785714285714284</c:v>
                      </c:pt>
                      <c:pt idx="28">
                        <c:v>3.3898305084745761</c:v>
                      </c:pt>
                      <c:pt idx="29">
                        <c:v>6.2992125984251972</c:v>
                      </c:pt>
                      <c:pt idx="30">
                        <c:v>5.0086355785837648</c:v>
                      </c:pt>
                      <c:pt idx="31">
                        <c:v>2.9585798816568047</c:v>
                      </c:pt>
                      <c:pt idx="32">
                        <c:v>2.2988505747126435</c:v>
                      </c:pt>
                      <c:pt idx="33">
                        <c:v>0.86956521739130432</c:v>
                      </c:pt>
                      <c:pt idx="34">
                        <c:v>4.0441176470588234</c:v>
                      </c:pt>
                      <c:pt idx="35">
                        <c:v>3.4825870646766171</c:v>
                      </c:pt>
                      <c:pt idx="36">
                        <c:v>3.9735099337748343</c:v>
                      </c:pt>
                      <c:pt idx="37">
                        <c:v>3.8135593220338984</c:v>
                      </c:pt>
                      <c:pt idx="38">
                        <c:v>1.5810276679841897</c:v>
                      </c:pt>
                    </c:numCache>
                  </c:numRef>
                </c:yVal>
                <c:bubbleSize>
                  <c:numRef>
                    <c:extLst xmlns:c15="http://schemas.microsoft.com/office/drawing/2012/chart">
                      <c:ext xmlns:c15="http://schemas.microsoft.com/office/drawing/2012/chart" uri="{02D57815-91ED-43cb-92C2-25804820EDAC}">
                        <c15:formulaRef>
                          <c15:sqref>'Партии (единый округ)'!$E$2:$E$41</c15:sqref>
                        </c15:formulaRef>
                      </c:ext>
                    </c:extLst>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xmlns:c15="http://schemas.microsoft.com/office/drawing/2012/chart">
                  <c:ext xmlns:c16="http://schemas.microsoft.com/office/drawing/2014/chart" uri="{C3380CC4-5D6E-409C-BE32-E72D297353CC}">
                    <c16:uniqueId val="{00000007-AB2B-46F5-A4A9-5B2C444CA80C}"/>
                  </c:ext>
                </c:extLst>
              </c15:ser>
            </c15:filteredBubbleSeries>
            <c15:filteredBubbleSeries>
              <c15:ser>
                <c:idx val="1"/>
                <c:order val="8"/>
                <c:tx>
                  <c:strRef>
                    <c:extLst xmlns:c15="http://schemas.microsoft.com/office/drawing/2012/chart">
                      <c:ext xmlns:c15="http://schemas.microsoft.com/office/drawing/2012/chart" uri="{02D57815-91ED-43cb-92C2-25804820EDAC}">
                        <c15:formulaRef>
                          <c15:sqref>'Партии (единый округ)'!$P$1</c15:sqref>
                        </c15:formulaRef>
                      </c:ext>
                    </c:extLst>
                    <c:strCache>
                      <c:ptCount val="1"/>
                      <c:pt idx="0">
                        <c:v>Надомка</c:v>
                      </c:pt>
                    </c:strCache>
                  </c:strRef>
                </c:tx>
                <c:spPr>
                  <a:noFill/>
                  <a:ln w="6350" cmpd="sng">
                    <a:solidFill>
                      <a:srgbClr val="000000"/>
                    </a:solidFill>
                    <a:prstDash val="sysDot"/>
                  </a:ln>
                </c:spPr>
                <c:invertIfNegative val="0"/>
                <c:xVal>
                  <c:numRef>
                    <c:extLst xmlns:c15="http://schemas.microsoft.com/office/drawing/2012/chart">
                      <c:ext xmlns:c15="http://schemas.microsoft.com/office/drawing/2012/chart" uri="{02D57815-91ED-43cb-92C2-25804820EDAC}">
                        <c15:formulaRef>
                          <c15:sqref>'Партии (единый округ)'!$J$2:$J$41</c15:sqref>
                        </c15:formulaRef>
                      </c:ext>
                    </c:extLst>
                    <c:numCache>
                      <c:formatCode>0.0</c:formatCode>
                      <c:ptCount val="39"/>
                      <c:pt idx="0">
                        <c:v>26.571201272871917</c:v>
                      </c:pt>
                      <c:pt idx="1">
                        <c:v>37.322834645669289</c:v>
                      </c:pt>
                      <c:pt idx="2">
                        <c:v>27.620967741935484</c:v>
                      </c:pt>
                      <c:pt idx="3">
                        <c:v>31.818181818181817</c:v>
                      </c:pt>
                      <c:pt idx="4">
                        <c:v>38.040345821325651</c:v>
                      </c:pt>
                      <c:pt idx="5">
                        <c:v>47.61904761904762</c:v>
                      </c:pt>
                      <c:pt idx="6">
                        <c:v>24.016563146997928</c:v>
                      </c:pt>
                      <c:pt idx="7">
                        <c:v>51.19047619047619</c:v>
                      </c:pt>
                      <c:pt idx="8">
                        <c:v>19.657534246575342</c:v>
                      </c:pt>
                      <c:pt idx="9">
                        <c:v>29.58041958041958</c:v>
                      </c:pt>
                      <c:pt idx="10">
                        <c:v>25</c:v>
                      </c:pt>
                      <c:pt idx="11">
                        <c:v>23.047127178825047</c:v>
                      </c:pt>
                      <c:pt idx="12">
                        <c:v>28.241845664280032</c:v>
                      </c:pt>
                      <c:pt idx="13">
                        <c:v>42.424242424242422</c:v>
                      </c:pt>
                      <c:pt idx="14">
                        <c:v>30.51124744376278</c:v>
                      </c:pt>
                      <c:pt idx="15">
                        <c:v>22.461230615307652</c:v>
                      </c:pt>
                      <c:pt idx="16">
                        <c:v>27</c:v>
                      </c:pt>
                      <c:pt idx="17">
                        <c:v>29.859154929577464</c:v>
                      </c:pt>
                      <c:pt idx="18">
                        <c:v>25.856164383561644</c:v>
                      </c:pt>
                      <c:pt idx="19">
                        <c:v>14.96792587312901</c:v>
                      </c:pt>
                      <c:pt idx="20">
                        <c:v>36.941176470588232</c:v>
                      </c:pt>
                      <c:pt idx="21">
                        <c:v>14.745145631067961</c:v>
                      </c:pt>
                      <c:pt idx="22">
                        <c:v>10.842158345940494</c:v>
                      </c:pt>
                      <c:pt idx="23">
                        <c:v>18.191662154845694</c:v>
                      </c:pt>
                      <c:pt idx="24">
                        <c:v>16.218208625138224</c:v>
                      </c:pt>
                      <c:pt idx="25">
                        <c:v>18.283261802575108</c:v>
                      </c:pt>
                      <c:pt idx="26">
                        <c:v>13.212435233160623</c:v>
                      </c:pt>
                      <c:pt idx="27">
                        <c:v>14.340588988476313</c:v>
                      </c:pt>
                      <c:pt idx="28">
                        <c:v>23.163208076275939</c:v>
                      </c:pt>
                      <c:pt idx="29">
                        <c:v>22.086956521739129</c:v>
                      </c:pt>
                      <c:pt idx="30">
                        <c:v>20.510095642933049</c:v>
                      </c:pt>
                      <c:pt idx="31">
                        <c:v>19.76608187134503</c:v>
                      </c:pt>
                      <c:pt idx="32">
                        <c:v>22.538860103626941</c:v>
                      </c:pt>
                      <c:pt idx="33">
                        <c:v>27.980535279805352</c:v>
                      </c:pt>
                      <c:pt idx="34">
                        <c:v>22.460776218001651</c:v>
                      </c:pt>
                      <c:pt idx="35">
                        <c:v>18.837863167760077</c:v>
                      </c:pt>
                      <c:pt idx="36">
                        <c:v>20.682593856655291</c:v>
                      </c:pt>
                      <c:pt idx="37">
                        <c:v>24.032586558044805</c:v>
                      </c:pt>
                      <c:pt idx="38">
                        <c:v>56.473214285714285</c:v>
                      </c:pt>
                    </c:numCache>
                  </c:numRef>
                </c:xVal>
                <c:yVal>
                  <c:numRef>
                    <c:extLst xmlns:c15="http://schemas.microsoft.com/office/drawing/2012/chart">
                      <c:ext xmlns:c15="http://schemas.microsoft.com/office/drawing/2012/chart" uri="{02D57815-91ED-43cb-92C2-25804820EDAC}">
                        <c15:formulaRef>
                          <c15:sqref>'Партии (единый округ)'!$P$2:$P$41</c15:sqref>
                        </c15:formulaRef>
                      </c:ext>
                    </c:extLst>
                    <c:numCache>
                      <c:formatCode>0.0</c:formatCode>
                      <c:ptCount val="39"/>
                      <c:pt idx="0">
                        <c:v>13.173652694610778</c:v>
                      </c:pt>
                      <c:pt idx="1">
                        <c:v>16.666666666666668</c:v>
                      </c:pt>
                      <c:pt idx="2">
                        <c:v>29.197080291970803</c:v>
                      </c:pt>
                      <c:pt idx="3">
                        <c:v>12.442396313364055</c:v>
                      </c:pt>
                      <c:pt idx="4">
                        <c:v>30.303030303030305</c:v>
                      </c:pt>
                      <c:pt idx="5">
                        <c:v>72.5</c:v>
                      </c:pt>
                      <c:pt idx="6">
                        <c:v>42.672413793103445</c:v>
                      </c:pt>
                      <c:pt idx="7">
                        <c:v>9.8837209302325579</c:v>
                      </c:pt>
                      <c:pt idx="8">
                        <c:v>19.16376306620209</c:v>
                      </c:pt>
                      <c:pt idx="9">
                        <c:v>14.184397163120567</c:v>
                      </c:pt>
                      <c:pt idx="10">
                        <c:v>3.1674208144796379</c:v>
                      </c:pt>
                      <c:pt idx="11">
                        <c:v>5.322128851540616</c:v>
                      </c:pt>
                      <c:pt idx="12">
                        <c:v>19.154929577464788</c:v>
                      </c:pt>
                      <c:pt idx="13">
                        <c:v>38.69047619047619</c:v>
                      </c:pt>
                      <c:pt idx="14">
                        <c:v>0.93833780160857905</c:v>
                      </c:pt>
                      <c:pt idx="15">
                        <c:v>3.1180400890868598</c:v>
                      </c:pt>
                      <c:pt idx="16">
                        <c:v>2.3569023569023568</c:v>
                      </c:pt>
                      <c:pt idx="17">
                        <c:v>4.9056603773584904</c:v>
                      </c:pt>
                      <c:pt idx="18">
                        <c:v>33.774834437086092</c:v>
                      </c:pt>
                      <c:pt idx="19">
                        <c:v>6.1904761904761907</c:v>
                      </c:pt>
                      <c:pt idx="20">
                        <c:v>17.197452229299362</c:v>
                      </c:pt>
                      <c:pt idx="21">
                        <c:v>6.1728395061728394</c:v>
                      </c:pt>
                      <c:pt idx="22">
                        <c:v>1.3953488372093024</c:v>
                      </c:pt>
                      <c:pt idx="23">
                        <c:v>2.3809523809523809</c:v>
                      </c:pt>
                      <c:pt idx="24">
                        <c:v>0.45454545454545453</c:v>
                      </c:pt>
                      <c:pt idx="25">
                        <c:v>3.051643192488263</c:v>
                      </c:pt>
                      <c:pt idx="26">
                        <c:v>3.4482758620689653</c:v>
                      </c:pt>
                      <c:pt idx="27">
                        <c:v>0.44642857142857145</c:v>
                      </c:pt>
                      <c:pt idx="28">
                        <c:v>3.87409200968523</c:v>
                      </c:pt>
                      <c:pt idx="29">
                        <c:v>1.1811023622047243</c:v>
                      </c:pt>
                      <c:pt idx="30">
                        <c:v>2.5906735751295336</c:v>
                      </c:pt>
                      <c:pt idx="31">
                        <c:v>19.526627218934912</c:v>
                      </c:pt>
                      <c:pt idx="32">
                        <c:v>29.310344827586206</c:v>
                      </c:pt>
                      <c:pt idx="33">
                        <c:v>28.695652173913043</c:v>
                      </c:pt>
                      <c:pt idx="34">
                        <c:v>33.455882352941174</c:v>
                      </c:pt>
                      <c:pt idx="35">
                        <c:v>28.35820895522388</c:v>
                      </c:pt>
                      <c:pt idx="36">
                        <c:v>23.178807947019866</c:v>
                      </c:pt>
                      <c:pt idx="37">
                        <c:v>12.711864406779661</c:v>
                      </c:pt>
                      <c:pt idx="38">
                        <c:v>8.695652173913043</c:v>
                      </c:pt>
                    </c:numCache>
                  </c:numRef>
                </c:yVal>
                <c:bubbleSize>
                  <c:numRef>
                    <c:extLst xmlns:c15="http://schemas.microsoft.com/office/drawing/2012/chart">
                      <c:ext xmlns:c15="http://schemas.microsoft.com/office/drawing/2012/chart" uri="{02D57815-91ED-43cb-92C2-25804820EDAC}">
                        <c15:formulaRef>
                          <c15:sqref>'Партии (единый округ)'!$E$2:$E$41</c15:sqref>
                        </c15:formulaRef>
                      </c:ext>
                    </c:extLst>
                    <c:numCache>
                      <c:formatCode>General</c:formatCode>
                      <c:ptCount val="39"/>
                      <c:pt idx="0">
                        <c:v>1257</c:v>
                      </c:pt>
                      <c:pt idx="1">
                        <c:v>1270</c:v>
                      </c:pt>
                      <c:pt idx="2">
                        <c:v>496</c:v>
                      </c:pt>
                      <c:pt idx="3">
                        <c:v>682</c:v>
                      </c:pt>
                      <c:pt idx="4">
                        <c:v>694</c:v>
                      </c:pt>
                      <c:pt idx="5">
                        <c:v>84</c:v>
                      </c:pt>
                      <c:pt idx="6">
                        <c:v>966</c:v>
                      </c:pt>
                      <c:pt idx="7">
                        <c:v>672</c:v>
                      </c:pt>
                      <c:pt idx="8">
                        <c:v>1460</c:v>
                      </c:pt>
                      <c:pt idx="9">
                        <c:v>1430</c:v>
                      </c:pt>
                      <c:pt idx="10">
                        <c:v>1768</c:v>
                      </c:pt>
                      <c:pt idx="11">
                        <c:v>1549</c:v>
                      </c:pt>
                      <c:pt idx="12">
                        <c:v>1257</c:v>
                      </c:pt>
                      <c:pt idx="13">
                        <c:v>792</c:v>
                      </c:pt>
                      <c:pt idx="14">
                        <c:v>2445</c:v>
                      </c:pt>
                      <c:pt idx="15">
                        <c:v>1999</c:v>
                      </c:pt>
                      <c:pt idx="16">
                        <c:v>1100</c:v>
                      </c:pt>
                      <c:pt idx="17">
                        <c:v>1775</c:v>
                      </c:pt>
                      <c:pt idx="18">
                        <c:v>584</c:v>
                      </c:pt>
                      <c:pt idx="19">
                        <c:v>1403</c:v>
                      </c:pt>
                      <c:pt idx="20">
                        <c:v>1275</c:v>
                      </c:pt>
                      <c:pt idx="21">
                        <c:v>1648</c:v>
                      </c:pt>
                      <c:pt idx="22">
                        <c:v>1983</c:v>
                      </c:pt>
                      <c:pt idx="23">
                        <c:v>1847</c:v>
                      </c:pt>
                      <c:pt idx="24">
                        <c:v>2713</c:v>
                      </c:pt>
                      <c:pt idx="25">
                        <c:v>2330</c:v>
                      </c:pt>
                      <c:pt idx="26">
                        <c:v>1544</c:v>
                      </c:pt>
                      <c:pt idx="27">
                        <c:v>1562</c:v>
                      </c:pt>
                      <c:pt idx="28">
                        <c:v>1783</c:v>
                      </c:pt>
                      <c:pt idx="29">
                        <c:v>1150</c:v>
                      </c:pt>
                      <c:pt idx="30">
                        <c:v>2823</c:v>
                      </c:pt>
                      <c:pt idx="31">
                        <c:v>855</c:v>
                      </c:pt>
                      <c:pt idx="32">
                        <c:v>772</c:v>
                      </c:pt>
                      <c:pt idx="33">
                        <c:v>411</c:v>
                      </c:pt>
                      <c:pt idx="34">
                        <c:v>1211</c:v>
                      </c:pt>
                      <c:pt idx="35">
                        <c:v>1067</c:v>
                      </c:pt>
                      <c:pt idx="36">
                        <c:v>1465</c:v>
                      </c:pt>
                      <c:pt idx="37">
                        <c:v>982</c:v>
                      </c:pt>
                      <c:pt idx="38">
                        <c:v>448</c:v>
                      </c:pt>
                    </c:numCache>
                  </c:numRef>
                </c:bubbleSize>
                <c:bubble3D val="0"/>
                <c:extLst xmlns:c15="http://schemas.microsoft.com/office/drawing/2012/chart">
                  <c:ext xmlns:c16="http://schemas.microsoft.com/office/drawing/2014/chart" uri="{C3380CC4-5D6E-409C-BE32-E72D297353CC}">
                    <c16:uniqueId val="{00000008-AB2B-46F5-A4A9-5B2C444CA80C}"/>
                  </c:ext>
                </c:extLst>
              </c15:ser>
            </c15:filteredBubbleSeries>
          </c:ext>
        </c:extLst>
      </c:bubbleChart>
      <c:valAx>
        <c:axId val="1404683680"/>
        <c:scaling>
          <c:orientation val="minMax"/>
          <c:max val="35"/>
          <c:min val="2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46445402251311091"/>
              <c:y val="0.94536217675295076"/>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majorUnit val="5"/>
        <c:minorUnit val="1"/>
      </c:valAx>
      <c:valAx>
        <c:axId val="1467487472"/>
        <c:scaling>
          <c:orientation val="minMax"/>
          <c:max val="8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37875450413170525"/>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69242754085087377"/>
          <c:y val="0.40615348920776795"/>
          <c:w val="0.2772882668875094"/>
          <c:h val="0.1461309384863288"/>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'Одномандатный №1'!$W$1</c:f>
              <c:strCache>
                <c:ptCount val="1"/>
                <c:pt idx="0">
                  <c:v>Бурлаенко (ЕР)</c:v>
                </c:pt>
              </c:strCache>
            </c:strRef>
          </c:tx>
          <c:spPr>
            <a:solidFill>
              <a:srgbClr val="0000FF">
                <a:alpha val="50000"/>
              </a:srgbClr>
            </a:solidFill>
            <a:ln w="25400">
              <a:noFill/>
            </a:ln>
          </c:spPr>
          <c:invertIfNegative val="0"/>
          <c:xVal>
            <c:numRef>
              <c:f>'Одномандатный №1'!$J$2:$J$8</c:f>
              <c:numCache>
                <c:formatCode>0.0</c:formatCode>
                <c:ptCount val="6"/>
                <c:pt idx="0">
                  <c:v>26.571201272871917</c:v>
                </c:pt>
                <c:pt idx="1">
                  <c:v>37.322834645669289</c:v>
                </c:pt>
                <c:pt idx="2">
                  <c:v>27.620967741935484</c:v>
                </c:pt>
                <c:pt idx="3">
                  <c:v>31.818181818181817</c:v>
                </c:pt>
                <c:pt idx="4">
                  <c:v>38.040345821325651</c:v>
                </c:pt>
                <c:pt idx="5">
                  <c:v>30.555555555555557</c:v>
                </c:pt>
              </c:numCache>
            </c:numRef>
          </c:xVal>
          <c:yVal>
            <c:numRef>
              <c:f>'Одномандатный №1'!$W$2:$W$8</c:f>
              <c:numCache>
                <c:formatCode>0.0</c:formatCode>
                <c:ptCount val="6"/>
                <c:pt idx="0">
                  <c:v>65.269461077844312</c:v>
                </c:pt>
                <c:pt idx="1">
                  <c:v>48.945147679324897</c:v>
                </c:pt>
                <c:pt idx="2">
                  <c:v>48.905109489051092</c:v>
                </c:pt>
                <c:pt idx="3">
                  <c:v>76.958525345622121</c:v>
                </c:pt>
                <c:pt idx="4">
                  <c:v>82.954545454545453</c:v>
                </c:pt>
                <c:pt idx="5">
                  <c:v>81.818181818181813</c:v>
                </c:pt>
              </c:numCache>
            </c:numRef>
          </c:yVal>
          <c:bubbleSize>
            <c:numRef>
              <c:f>'Одномандатный №1'!$E$2:$E$8</c:f>
              <c:numCache>
                <c:formatCode>General</c:formatCode>
                <c:ptCount val="6"/>
                <c:pt idx="0">
                  <c:v>1257</c:v>
                </c:pt>
                <c:pt idx="1">
                  <c:v>1270</c:v>
                </c:pt>
                <c:pt idx="2">
                  <c:v>496</c:v>
                </c:pt>
                <c:pt idx="3">
                  <c:v>682</c:v>
                </c:pt>
                <c:pt idx="4">
                  <c:v>694</c:v>
                </c:pt>
                <c:pt idx="5">
                  <c:v>72</c:v>
                </c:pt>
              </c:numCache>
            </c:numRef>
          </c:bubbleSize>
          <c:bubble3D val="0"/>
          <c:extLst>
            <c:ext xmlns:c16="http://schemas.microsoft.com/office/drawing/2014/chart" uri="{C3380CC4-5D6E-409C-BE32-E72D297353CC}">
              <c16:uniqueId val="{00000000-1769-4FB1-A201-6D1C57DFF59A}"/>
            </c:ext>
          </c:extLst>
        </c:ser>
        <c:ser>
          <c:idx val="9"/>
          <c:order val="1"/>
          <c:tx>
            <c:strRef>
              <c:f>'Одномандатный №1'!$Y$1</c:f>
              <c:strCache>
                <c:ptCount val="1"/>
                <c:pt idx="0">
                  <c:v>Вахмистров (Родина)</c:v>
                </c:pt>
              </c:strCache>
            </c:strRef>
          </c:tx>
          <c:spPr>
            <a:solidFill>
              <a:srgbClr val="9900FF">
                <a:alpha val="50000"/>
              </a:srgbClr>
            </a:solidFill>
            <a:ln w="25400"/>
          </c:spPr>
          <c:invertIfNegative val="0"/>
          <c:xVal>
            <c:numRef>
              <c:f>'Одномандатный №1'!$J$2:$J$8</c:f>
              <c:numCache>
                <c:formatCode>0.0</c:formatCode>
                <c:ptCount val="6"/>
                <c:pt idx="0">
                  <c:v>26.571201272871917</c:v>
                </c:pt>
                <c:pt idx="1">
                  <c:v>37.322834645669289</c:v>
                </c:pt>
                <c:pt idx="2">
                  <c:v>27.620967741935484</c:v>
                </c:pt>
                <c:pt idx="3">
                  <c:v>31.818181818181817</c:v>
                </c:pt>
                <c:pt idx="4">
                  <c:v>38.040345821325651</c:v>
                </c:pt>
                <c:pt idx="5">
                  <c:v>30.555555555555557</c:v>
                </c:pt>
              </c:numCache>
            </c:numRef>
          </c:xVal>
          <c:yVal>
            <c:numRef>
              <c:f>'Одномандатный №1'!$Y$2:$Y$8</c:f>
              <c:numCache>
                <c:formatCode>0.0</c:formatCode>
                <c:ptCount val="6"/>
                <c:pt idx="0">
                  <c:v>6.5868263473053892</c:v>
                </c:pt>
                <c:pt idx="1">
                  <c:v>0.4219409282700422</c:v>
                </c:pt>
                <c:pt idx="2">
                  <c:v>2.9197080291970803</c:v>
                </c:pt>
                <c:pt idx="3">
                  <c:v>0.46082949308755761</c:v>
                </c:pt>
                <c:pt idx="4">
                  <c:v>1.1363636363636365</c:v>
                </c:pt>
                <c:pt idx="5">
                  <c:v>4.5454545454545459</c:v>
                </c:pt>
              </c:numCache>
            </c:numRef>
          </c:yVal>
          <c:bubbleSize>
            <c:numRef>
              <c:f>'Одномандатный №1'!$E$2:$E$8</c:f>
              <c:numCache>
                <c:formatCode>General</c:formatCode>
                <c:ptCount val="6"/>
                <c:pt idx="0">
                  <c:v>1257</c:v>
                </c:pt>
                <c:pt idx="1">
                  <c:v>1270</c:v>
                </c:pt>
                <c:pt idx="2">
                  <c:v>496</c:v>
                </c:pt>
                <c:pt idx="3">
                  <c:v>682</c:v>
                </c:pt>
                <c:pt idx="4">
                  <c:v>694</c:v>
                </c:pt>
                <c:pt idx="5">
                  <c:v>72</c:v>
                </c:pt>
              </c:numCache>
            </c:numRef>
          </c:bubbleSize>
          <c:bubble3D val="0"/>
          <c:extLst>
            <c:ext xmlns:c16="http://schemas.microsoft.com/office/drawing/2014/chart" uri="{C3380CC4-5D6E-409C-BE32-E72D297353CC}">
              <c16:uniqueId val="{00000001-1769-4FB1-A201-6D1C57DFF59A}"/>
            </c:ext>
          </c:extLst>
        </c:ser>
        <c:ser>
          <c:idx val="10"/>
          <c:order val="2"/>
          <c:tx>
            <c:strRef>
              <c:f>'Одномандатный №1'!$AA$1</c:f>
              <c:strCache>
                <c:ptCount val="1"/>
                <c:pt idx="0">
                  <c:v>Корякина (пенсионеров)</c:v>
                </c:pt>
              </c:strCache>
            </c:strRef>
          </c:tx>
          <c:spPr>
            <a:solidFill>
              <a:srgbClr val="C89600">
                <a:alpha val="50000"/>
              </a:srgbClr>
            </a:solidFill>
            <a:ln w="25400">
              <a:noFill/>
            </a:ln>
            <a:effectLst/>
          </c:spPr>
          <c:invertIfNegative val="0"/>
          <c:xVal>
            <c:numRef>
              <c:f>'Одномандатный №1'!$J$2:$J$8</c:f>
              <c:numCache>
                <c:formatCode>0.0</c:formatCode>
                <c:ptCount val="6"/>
                <c:pt idx="0">
                  <c:v>26.571201272871917</c:v>
                </c:pt>
                <c:pt idx="1">
                  <c:v>37.322834645669289</c:v>
                </c:pt>
                <c:pt idx="2">
                  <c:v>27.620967741935484</c:v>
                </c:pt>
                <c:pt idx="3">
                  <c:v>31.818181818181817</c:v>
                </c:pt>
                <c:pt idx="4">
                  <c:v>38.040345821325651</c:v>
                </c:pt>
                <c:pt idx="5">
                  <c:v>30.555555555555557</c:v>
                </c:pt>
              </c:numCache>
            </c:numRef>
          </c:xVal>
          <c:yVal>
            <c:numRef>
              <c:f>'Одномандатный №1'!$AA$2:$AA$8</c:f>
              <c:numCache>
                <c:formatCode>0.0</c:formatCode>
                <c:ptCount val="6"/>
                <c:pt idx="0">
                  <c:v>6.88622754491018</c:v>
                </c:pt>
                <c:pt idx="1">
                  <c:v>2.5316455696202533</c:v>
                </c:pt>
                <c:pt idx="2">
                  <c:v>2.1897810218978102</c:v>
                </c:pt>
                <c:pt idx="3">
                  <c:v>5.0691244239631335</c:v>
                </c:pt>
                <c:pt idx="4">
                  <c:v>1.893939393939394</c:v>
                </c:pt>
                <c:pt idx="5">
                  <c:v>0</c:v>
                </c:pt>
              </c:numCache>
            </c:numRef>
          </c:yVal>
          <c:bubbleSize>
            <c:numRef>
              <c:f>'Одномандатный №1'!$E$2:$E$8</c:f>
              <c:numCache>
                <c:formatCode>General</c:formatCode>
                <c:ptCount val="6"/>
                <c:pt idx="0">
                  <c:v>1257</c:v>
                </c:pt>
                <c:pt idx="1">
                  <c:v>1270</c:v>
                </c:pt>
                <c:pt idx="2">
                  <c:v>496</c:v>
                </c:pt>
                <c:pt idx="3">
                  <c:v>682</c:v>
                </c:pt>
                <c:pt idx="4">
                  <c:v>694</c:v>
                </c:pt>
                <c:pt idx="5">
                  <c:v>72</c:v>
                </c:pt>
              </c:numCache>
            </c:numRef>
          </c:bubbleSize>
          <c:bubble3D val="0"/>
          <c:extLst>
            <c:ext xmlns:c16="http://schemas.microsoft.com/office/drawing/2014/chart" uri="{C3380CC4-5D6E-409C-BE32-E72D297353CC}">
              <c16:uniqueId val="{00000002-1769-4FB1-A201-6D1C57DFF59A}"/>
            </c:ext>
          </c:extLst>
        </c:ser>
        <c:ser>
          <c:idx val="11"/>
          <c:order val="3"/>
          <c:tx>
            <c:strRef>
              <c:f>'Одномандатный №1'!$AC$1</c:f>
              <c:strCache>
                <c:ptCount val="1"/>
                <c:pt idx="0">
                  <c:v>Малюта</c:v>
                </c:pt>
              </c:strCache>
            </c:strRef>
          </c:tx>
          <c:spPr>
            <a:solidFill>
              <a:srgbClr val="000000">
                <a:alpha val="50000"/>
              </a:srgbClr>
            </a:solidFill>
            <a:ln w="25400">
              <a:noFill/>
            </a:ln>
            <a:effectLst/>
          </c:spPr>
          <c:invertIfNegative val="0"/>
          <c:xVal>
            <c:numRef>
              <c:f>'Одномандатный №1'!$J$2:$J$8</c:f>
              <c:numCache>
                <c:formatCode>0.0</c:formatCode>
                <c:ptCount val="6"/>
                <c:pt idx="0">
                  <c:v>26.571201272871917</c:v>
                </c:pt>
                <c:pt idx="1">
                  <c:v>37.322834645669289</c:v>
                </c:pt>
                <c:pt idx="2">
                  <c:v>27.620967741935484</c:v>
                </c:pt>
                <c:pt idx="3">
                  <c:v>31.818181818181817</c:v>
                </c:pt>
                <c:pt idx="4">
                  <c:v>38.040345821325651</c:v>
                </c:pt>
                <c:pt idx="5">
                  <c:v>30.555555555555557</c:v>
                </c:pt>
              </c:numCache>
            </c:numRef>
          </c:xVal>
          <c:yVal>
            <c:numRef>
              <c:f>'Одномандатный №1'!$AC$2:$AC$8</c:f>
              <c:numCache>
                <c:formatCode>0.0</c:formatCode>
                <c:ptCount val="6"/>
                <c:pt idx="0">
                  <c:v>1.4970059880239521</c:v>
                </c:pt>
                <c:pt idx="1">
                  <c:v>2.9535864978902953</c:v>
                </c:pt>
                <c:pt idx="2">
                  <c:v>0.72992700729927007</c:v>
                </c:pt>
                <c:pt idx="3">
                  <c:v>1.3824884792626728</c:v>
                </c:pt>
                <c:pt idx="4">
                  <c:v>0.75757575757575757</c:v>
                </c:pt>
                <c:pt idx="5">
                  <c:v>0</c:v>
                </c:pt>
              </c:numCache>
            </c:numRef>
          </c:yVal>
          <c:bubbleSize>
            <c:numRef>
              <c:f>'Одномандатный №1'!$E$2:$E$8</c:f>
              <c:numCache>
                <c:formatCode>General</c:formatCode>
                <c:ptCount val="6"/>
                <c:pt idx="0">
                  <c:v>1257</c:v>
                </c:pt>
                <c:pt idx="1">
                  <c:v>1270</c:v>
                </c:pt>
                <c:pt idx="2">
                  <c:v>496</c:v>
                </c:pt>
                <c:pt idx="3">
                  <c:v>682</c:v>
                </c:pt>
                <c:pt idx="4">
                  <c:v>694</c:v>
                </c:pt>
                <c:pt idx="5">
                  <c:v>72</c:v>
                </c:pt>
              </c:numCache>
            </c:numRef>
          </c:bubbleSize>
          <c:bubble3D val="0"/>
          <c:extLst>
            <c:ext xmlns:c16="http://schemas.microsoft.com/office/drawing/2014/chart" uri="{C3380CC4-5D6E-409C-BE32-E72D297353CC}">
              <c16:uniqueId val="{00000003-1769-4FB1-A201-6D1C57DFF59A}"/>
            </c:ext>
          </c:extLst>
        </c:ser>
        <c:ser>
          <c:idx val="12"/>
          <c:order val="4"/>
          <c:tx>
            <c:strRef>
              <c:f>'Одномандатный №1'!$AE$1</c:f>
              <c:strCache>
                <c:ptCount val="1"/>
                <c:pt idx="0">
                  <c:v>Чубенко (СР)</c:v>
                </c:pt>
              </c:strCache>
            </c:strRef>
          </c:tx>
          <c:spPr>
            <a:solidFill>
              <a:srgbClr val="6666FF">
                <a:alpha val="50000"/>
              </a:srgbClr>
            </a:solidFill>
            <a:ln w="25400">
              <a:noFill/>
            </a:ln>
          </c:spPr>
          <c:invertIfNegative val="0"/>
          <c:xVal>
            <c:numRef>
              <c:f>'Одномандатный №1'!$J$2:$J$8</c:f>
              <c:numCache>
                <c:formatCode>0.0</c:formatCode>
                <c:ptCount val="6"/>
                <c:pt idx="0">
                  <c:v>26.571201272871917</c:v>
                </c:pt>
                <c:pt idx="1">
                  <c:v>37.322834645669289</c:v>
                </c:pt>
                <c:pt idx="2">
                  <c:v>27.620967741935484</c:v>
                </c:pt>
                <c:pt idx="3">
                  <c:v>31.818181818181817</c:v>
                </c:pt>
                <c:pt idx="4">
                  <c:v>38.040345821325651</c:v>
                </c:pt>
                <c:pt idx="5">
                  <c:v>30.555555555555557</c:v>
                </c:pt>
              </c:numCache>
            </c:numRef>
          </c:xVal>
          <c:yVal>
            <c:numRef>
              <c:f>'Одномандатный №1'!$AE$2:$AE$8</c:f>
              <c:numCache>
                <c:formatCode>0.0</c:formatCode>
                <c:ptCount val="6"/>
                <c:pt idx="0">
                  <c:v>3.2934131736526946</c:v>
                </c:pt>
                <c:pt idx="1">
                  <c:v>38.607594936708864</c:v>
                </c:pt>
                <c:pt idx="2">
                  <c:v>40.875912408759127</c:v>
                </c:pt>
                <c:pt idx="3">
                  <c:v>9.67741935483871</c:v>
                </c:pt>
                <c:pt idx="4">
                  <c:v>7.5757575757575761</c:v>
                </c:pt>
                <c:pt idx="5">
                  <c:v>4.5454545454545459</c:v>
                </c:pt>
              </c:numCache>
            </c:numRef>
          </c:yVal>
          <c:bubbleSize>
            <c:numRef>
              <c:f>'Одномандатный №1'!$E$2:$E$8</c:f>
              <c:numCache>
                <c:formatCode>General</c:formatCode>
                <c:ptCount val="6"/>
                <c:pt idx="0">
                  <c:v>1257</c:v>
                </c:pt>
                <c:pt idx="1">
                  <c:v>1270</c:v>
                </c:pt>
                <c:pt idx="2">
                  <c:v>496</c:v>
                </c:pt>
                <c:pt idx="3">
                  <c:v>682</c:v>
                </c:pt>
                <c:pt idx="4">
                  <c:v>694</c:v>
                </c:pt>
                <c:pt idx="5">
                  <c:v>72</c:v>
                </c:pt>
              </c:numCache>
            </c:numRef>
          </c:bubbleSize>
          <c:bubble3D val="0"/>
          <c:extLst>
            <c:ext xmlns:c16="http://schemas.microsoft.com/office/drawing/2014/chart" uri="{C3380CC4-5D6E-409C-BE32-E72D297353CC}">
              <c16:uniqueId val="{00000004-1769-4FB1-A201-6D1C57DFF59A}"/>
            </c:ext>
          </c:extLst>
        </c:ser>
        <c:ser>
          <c:idx val="13"/>
          <c:order val="5"/>
          <c:tx>
            <c:strRef>
              <c:f>'Одномандатный №1'!$AG$1</c:f>
              <c:strCache>
                <c:ptCount val="1"/>
                <c:pt idx="0">
                  <c:v>Щербакова (ЛДПР)</c:v>
                </c:pt>
              </c:strCache>
            </c:strRef>
          </c:tx>
          <c:spPr>
            <a:solidFill>
              <a:srgbClr val="FF9900">
                <a:alpha val="50000"/>
              </a:srgbClr>
            </a:solidFill>
            <a:ln w="25400"/>
          </c:spPr>
          <c:invertIfNegative val="0"/>
          <c:xVal>
            <c:numRef>
              <c:f>'Одномандатный №1'!$J$2:$J$8</c:f>
              <c:numCache>
                <c:formatCode>0.0</c:formatCode>
                <c:ptCount val="6"/>
                <c:pt idx="0">
                  <c:v>26.571201272871917</c:v>
                </c:pt>
                <c:pt idx="1">
                  <c:v>37.322834645669289</c:v>
                </c:pt>
                <c:pt idx="2">
                  <c:v>27.620967741935484</c:v>
                </c:pt>
                <c:pt idx="3">
                  <c:v>31.818181818181817</c:v>
                </c:pt>
                <c:pt idx="4">
                  <c:v>38.040345821325651</c:v>
                </c:pt>
                <c:pt idx="5">
                  <c:v>30.555555555555557</c:v>
                </c:pt>
              </c:numCache>
            </c:numRef>
          </c:xVal>
          <c:yVal>
            <c:numRef>
              <c:f>'Одномандатный №1'!$AG$2:$AG$8</c:f>
              <c:numCache>
                <c:formatCode>0.0</c:formatCode>
                <c:ptCount val="6"/>
                <c:pt idx="0">
                  <c:v>9.2814371257485035</c:v>
                </c:pt>
                <c:pt idx="1">
                  <c:v>3.3755274261603376</c:v>
                </c:pt>
                <c:pt idx="2">
                  <c:v>2.1897810218978102</c:v>
                </c:pt>
                <c:pt idx="3">
                  <c:v>4.1474654377880187</c:v>
                </c:pt>
                <c:pt idx="4">
                  <c:v>3.7878787878787881</c:v>
                </c:pt>
                <c:pt idx="5">
                  <c:v>9.0909090909090917</c:v>
                </c:pt>
              </c:numCache>
            </c:numRef>
          </c:yVal>
          <c:bubbleSize>
            <c:numRef>
              <c:f>'Одномандатный №1'!$E$2:$E$8</c:f>
              <c:numCache>
                <c:formatCode>General</c:formatCode>
                <c:ptCount val="6"/>
                <c:pt idx="0">
                  <c:v>1257</c:v>
                </c:pt>
                <c:pt idx="1">
                  <c:v>1270</c:v>
                </c:pt>
                <c:pt idx="2">
                  <c:v>496</c:v>
                </c:pt>
                <c:pt idx="3">
                  <c:v>682</c:v>
                </c:pt>
                <c:pt idx="4">
                  <c:v>694</c:v>
                </c:pt>
                <c:pt idx="5">
                  <c:v>72</c:v>
                </c:pt>
              </c:numCache>
            </c:numRef>
          </c:bubbleSize>
          <c:bubble3D val="0"/>
          <c:extLst>
            <c:ext xmlns:c16="http://schemas.microsoft.com/office/drawing/2014/chart" uri="{C3380CC4-5D6E-409C-BE32-E72D297353CC}">
              <c16:uniqueId val="{00000005-1769-4FB1-A201-6D1C57DFF59A}"/>
            </c:ext>
          </c:extLst>
        </c:ser>
        <c:ser>
          <c:idx val="0"/>
          <c:order val="6"/>
          <c:tx>
            <c:strRef>
              <c:f>'Одномандатный №1'!$R$1</c:f>
              <c:strCache>
                <c:ptCount val="1"/>
                <c:pt idx="0">
                  <c:v>Недействительных</c:v>
                </c:pt>
              </c:strCache>
            </c:strRef>
          </c:tx>
          <c:spPr>
            <a:noFill/>
            <a:ln w="6350">
              <a:solidFill>
                <a:srgbClr val="000000"/>
              </a:solidFill>
            </a:ln>
          </c:spPr>
          <c:invertIfNegative val="0"/>
          <c:xVal>
            <c:numRef>
              <c:f>'Одномандатный №1'!$J$2:$J$8</c:f>
              <c:numCache>
                <c:formatCode>0.0</c:formatCode>
                <c:ptCount val="6"/>
                <c:pt idx="0">
                  <c:v>26.571201272871917</c:v>
                </c:pt>
                <c:pt idx="1">
                  <c:v>37.322834645669289</c:v>
                </c:pt>
                <c:pt idx="2">
                  <c:v>27.620967741935484</c:v>
                </c:pt>
                <c:pt idx="3">
                  <c:v>31.818181818181817</c:v>
                </c:pt>
                <c:pt idx="4">
                  <c:v>38.040345821325651</c:v>
                </c:pt>
                <c:pt idx="5">
                  <c:v>30.555555555555557</c:v>
                </c:pt>
              </c:numCache>
            </c:numRef>
          </c:xVal>
          <c:yVal>
            <c:numRef>
              <c:f>'Одномандатный №1'!$R$2:$R$8</c:f>
              <c:numCache>
                <c:formatCode>0.0</c:formatCode>
                <c:ptCount val="6"/>
                <c:pt idx="0">
                  <c:v>7.1856287425149699</c:v>
                </c:pt>
                <c:pt idx="1">
                  <c:v>3.1645569620253164</c:v>
                </c:pt>
                <c:pt idx="2">
                  <c:v>2.1897810218978102</c:v>
                </c:pt>
                <c:pt idx="3">
                  <c:v>2.3041474654377878</c:v>
                </c:pt>
                <c:pt idx="4">
                  <c:v>1.893939393939394</c:v>
                </c:pt>
                <c:pt idx="5">
                  <c:v>0</c:v>
                </c:pt>
              </c:numCache>
            </c:numRef>
          </c:yVal>
          <c:bubbleSize>
            <c:numRef>
              <c:f>'Одномандатный №1'!$E$2:$E$8</c:f>
              <c:numCache>
                <c:formatCode>General</c:formatCode>
                <c:ptCount val="6"/>
                <c:pt idx="0">
                  <c:v>1257</c:v>
                </c:pt>
                <c:pt idx="1">
                  <c:v>1270</c:v>
                </c:pt>
                <c:pt idx="2">
                  <c:v>496</c:v>
                </c:pt>
                <c:pt idx="3">
                  <c:v>682</c:v>
                </c:pt>
                <c:pt idx="4">
                  <c:v>694</c:v>
                </c:pt>
                <c:pt idx="5">
                  <c:v>72</c:v>
                </c:pt>
              </c:numCache>
            </c:numRef>
          </c:bubbleSize>
          <c:bubble3D val="0"/>
          <c:extLst>
            <c:ext xmlns:c16="http://schemas.microsoft.com/office/drawing/2014/chart" uri="{C3380CC4-5D6E-409C-BE32-E72D297353CC}">
              <c16:uniqueId val="{00000007-1769-4FB1-A201-6D1C57DFF59A}"/>
            </c:ext>
          </c:extLst>
        </c:ser>
        <c:ser>
          <c:idx val="1"/>
          <c:order val="7"/>
          <c:tx>
            <c:strRef>
              <c:f>'Одномандатный №1'!$P$1</c:f>
              <c:strCache>
                <c:ptCount val="1"/>
                <c:pt idx="0">
                  <c:v>Надомка</c:v>
                </c:pt>
              </c:strCache>
            </c:strRef>
          </c:tx>
          <c:spPr>
            <a:noFill/>
            <a:ln w="6350" cmpd="sng">
              <a:solidFill>
                <a:srgbClr val="000000"/>
              </a:solidFill>
              <a:prstDash val="sysDot"/>
            </a:ln>
          </c:spPr>
          <c:invertIfNegative val="0"/>
          <c:xVal>
            <c:numRef>
              <c:f>'Одномандатный №1'!$J$2:$J$8</c:f>
              <c:numCache>
                <c:formatCode>0.0</c:formatCode>
                <c:ptCount val="6"/>
                <c:pt idx="0">
                  <c:v>26.571201272871917</c:v>
                </c:pt>
                <c:pt idx="1">
                  <c:v>37.322834645669289</c:v>
                </c:pt>
                <c:pt idx="2">
                  <c:v>27.620967741935484</c:v>
                </c:pt>
                <c:pt idx="3">
                  <c:v>31.818181818181817</c:v>
                </c:pt>
                <c:pt idx="4">
                  <c:v>38.040345821325651</c:v>
                </c:pt>
                <c:pt idx="5">
                  <c:v>30.555555555555557</c:v>
                </c:pt>
              </c:numCache>
            </c:numRef>
          </c:xVal>
          <c:yVal>
            <c:numRef>
              <c:f>'Одномандатный №1'!$P$2:$P$8</c:f>
              <c:numCache>
                <c:formatCode>0.0</c:formatCode>
                <c:ptCount val="6"/>
                <c:pt idx="0">
                  <c:v>13.173652694610778</c:v>
                </c:pt>
                <c:pt idx="1">
                  <c:v>16.666666666666668</c:v>
                </c:pt>
                <c:pt idx="2">
                  <c:v>29.197080291970803</c:v>
                </c:pt>
                <c:pt idx="3">
                  <c:v>12.442396313364055</c:v>
                </c:pt>
                <c:pt idx="4">
                  <c:v>30.303030303030305</c:v>
                </c:pt>
                <c:pt idx="5">
                  <c:v>50</c:v>
                </c:pt>
              </c:numCache>
            </c:numRef>
          </c:yVal>
          <c:bubbleSize>
            <c:numRef>
              <c:f>'Одномандатный №1'!$E$2:$E$8</c:f>
              <c:numCache>
                <c:formatCode>General</c:formatCode>
                <c:ptCount val="6"/>
                <c:pt idx="0">
                  <c:v>1257</c:v>
                </c:pt>
                <c:pt idx="1">
                  <c:v>1270</c:v>
                </c:pt>
                <c:pt idx="2">
                  <c:v>496</c:v>
                </c:pt>
                <c:pt idx="3">
                  <c:v>682</c:v>
                </c:pt>
                <c:pt idx="4">
                  <c:v>694</c:v>
                </c:pt>
                <c:pt idx="5">
                  <c:v>72</c:v>
                </c:pt>
              </c:numCache>
            </c:numRef>
          </c:bubbleSize>
          <c:bubble3D val="0"/>
          <c:extLst>
            <c:ext xmlns:c16="http://schemas.microsoft.com/office/drawing/2014/chart" uri="{C3380CC4-5D6E-409C-BE32-E72D297353CC}">
              <c16:uniqueId val="{00000008-1769-4FB1-A201-6D1C57DFF59A}"/>
            </c:ext>
          </c:extLst>
        </c:ser>
        <c:ser>
          <c:idx val="17"/>
          <c:order val="8"/>
          <c:tx>
            <c:strRef>
              <c:f>'Одномандатный №1'!$V$45</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'Одномандатный №1'!$V$46</c:f>
              <c:numCache>
                <c:formatCode>General</c:formatCode>
                <c:ptCount val="1"/>
                <c:pt idx="0">
                  <c:v>5646</c:v>
                </c:pt>
              </c:numCache>
            </c:numRef>
          </c:bubbleSize>
          <c:bubble3D val="0"/>
          <c:extLst>
            <c:ext xmlns:c16="http://schemas.microsoft.com/office/drawing/2014/chart" uri="{C3380CC4-5D6E-409C-BE32-E72D297353CC}">
              <c16:uniqueId val="{0000000A-1769-4FB1-A201-6D1C57DFF59A}"/>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199353719030197"/>
          <c:y val="0.10071436375854764"/>
          <c:w val="0.16772242278379462"/>
          <c:h val="0.28197632928967065"/>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№2!$W$1</c:f>
              <c:strCache>
                <c:ptCount val="1"/>
                <c:pt idx="0">
                  <c:v>Данилов (ЕР)</c:v>
                </c:pt>
              </c:strCache>
            </c:strRef>
          </c:tx>
          <c:spPr>
            <a:solidFill>
              <a:srgbClr val="0000FF">
                <a:alpha val="50000"/>
              </a:srgbClr>
            </a:solidFill>
            <a:ln w="25400">
              <a:noFill/>
            </a:ln>
          </c:spPr>
          <c:invertIfNegative val="0"/>
          <c:xVal>
            <c:numRef>
              <c:f>№2!$J$2:$J$6</c:f>
              <c:numCache>
                <c:formatCode>0.0</c:formatCode>
                <c:ptCount val="4"/>
                <c:pt idx="0">
                  <c:v>24.016563146997928</c:v>
                </c:pt>
                <c:pt idx="1">
                  <c:v>51.19047619047619</c:v>
                </c:pt>
                <c:pt idx="2">
                  <c:v>19.657534246575342</c:v>
                </c:pt>
                <c:pt idx="3">
                  <c:v>29.58041958041958</c:v>
                </c:pt>
              </c:numCache>
            </c:numRef>
          </c:xVal>
          <c:yVal>
            <c:numRef>
              <c:f>№2!$W$2:$W$6</c:f>
              <c:numCache>
                <c:formatCode>0.0</c:formatCode>
                <c:ptCount val="4"/>
                <c:pt idx="0">
                  <c:v>67.241379310344826</c:v>
                </c:pt>
                <c:pt idx="1">
                  <c:v>78.197674418604649</c:v>
                </c:pt>
                <c:pt idx="2">
                  <c:v>79.79094076655052</c:v>
                </c:pt>
                <c:pt idx="3">
                  <c:v>61.702127659574465</c:v>
                </c:pt>
              </c:numCache>
            </c:numRef>
          </c:yVal>
          <c:bubbleSize>
            <c:numRef>
              <c:f>№2!$E$2:$E$6</c:f>
              <c:numCache>
                <c:formatCode>General</c:formatCode>
                <c:ptCount val="4"/>
                <c:pt idx="0">
                  <c:v>966</c:v>
                </c:pt>
                <c:pt idx="1">
                  <c:v>672</c:v>
                </c:pt>
                <c:pt idx="2">
                  <c:v>1460</c:v>
                </c:pt>
                <c:pt idx="3">
                  <c:v>1430</c:v>
                </c:pt>
              </c:numCache>
            </c:numRef>
          </c:bubbleSize>
          <c:bubble3D val="0"/>
          <c:extLst>
            <c:ext xmlns:c16="http://schemas.microsoft.com/office/drawing/2014/chart" uri="{C3380CC4-5D6E-409C-BE32-E72D297353CC}">
              <c16:uniqueId val="{00000000-7A1C-4A70-B664-186D4FDA66FD}"/>
            </c:ext>
          </c:extLst>
        </c:ser>
        <c:ser>
          <c:idx val="9"/>
          <c:order val="1"/>
          <c:tx>
            <c:strRef>
              <c:f>№2!$Y$1</c:f>
              <c:strCache>
                <c:ptCount val="1"/>
                <c:pt idx="0">
                  <c:v>Космынин</c:v>
                </c:pt>
              </c:strCache>
            </c:strRef>
          </c:tx>
          <c:spPr>
            <a:solidFill>
              <a:srgbClr val="000000">
                <a:alpha val="50000"/>
              </a:srgbClr>
            </a:solidFill>
            <a:ln w="25400"/>
          </c:spPr>
          <c:invertIfNegative val="0"/>
          <c:xVal>
            <c:numRef>
              <c:f>№2!$J$2:$J$6</c:f>
              <c:numCache>
                <c:formatCode>0.0</c:formatCode>
                <c:ptCount val="4"/>
                <c:pt idx="0">
                  <c:v>24.016563146997928</c:v>
                </c:pt>
                <c:pt idx="1">
                  <c:v>51.19047619047619</c:v>
                </c:pt>
                <c:pt idx="2">
                  <c:v>19.657534246575342</c:v>
                </c:pt>
                <c:pt idx="3">
                  <c:v>29.58041958041958</c:v>
                </c:pt>
              </c:numCache>
            </c:numRef>
          </c:xVal>
          <c:yVal>
            <c:numRef>
              <c:f>№2!$Y$2:$Y$6</c:f>
              <c:numCache>
                <c:formatCode>0.0</c:formatCode>
                <c:ptCount val="4"/>
                <c:pt idx="0">
                  <c:v>2.1551724137931036</c:v>
                </c:pt>
                <c:pt idx="1">
                  <c:v>1.4534883720930232</c:v>
                </c:pt>
                <c:pt idx="2">
                  <c:v>2.7874564459930316</c:v>
                </c:pt>
                <c:pt idx="3">
                  <c:v>1.4184397163120568</c:v>
                </c:pt>
              </c:numCache>
            </c:numRef>
          </c:yVal>
          <c:bubbleSize>
            <c:numRef>
              <c:f>№2!$E$2:$E$6</c:f>
              <c:numCache>
                <c:formatCode>General</c:formatCode>
                <c:ptCount val="4"/>
                <c:pt idx="0">
                  <c:v>966</c:v>
                </c:pt>
                <c:pt idx="1">
                  <c:v>672</c:v>
                </c:pt>
                <c:pt idx="2">
                  <c:v>1460</c:v>
                </c:pt>
                <c:pt idx="3">
                  <c:v>1430</c:v>
                </c:pt>
              </c:numCache>
            </c:numRef>
          </c:bubbleSize>
          <c:bubble3D val="0"/>
          <c:extLst>
            <c:ext xmlns:c16="http://schemas.microsoft.com/office/drawing/2014/chart" uri="{C3380CC4-5D6E-409C-BE32-E72D297353CC}">
              <c16:uniqueId val="{00000001-7A1C-4A70-B664-186D4FDA66FD}"/>
            </c:ext>
          </c:extLst>
        </c:ser>
        <c:ser>
          <c:idx val="10"/>
          <c:order val="2"/>
          <c:tx>
            <c:strRef>
              <c:f>№2!$AA$1</c:f>
              <c:strCache>
                <c:ptCount val="1"/>
                <c:pt idx="0">
                  <c:v>Никитенков (Родина)</c:v>
                </c:pt>
              </c:strCache>
            </c:strRef>
          </c:tx>
          <c:spPr>
            <a:solidFill>
              <a:srgbClr val="9900FF">
                <a:alpha val="49804"/>
              </a:srgbClr>
            </a:solidFill>
            <a:ln w="25400">
              <a:noFill/>
            </a:ln>
            <a:effectLst/>
          </c:spPr>
          <c:invertIfNegative val="0"/>
          <c:xVal>
            <c:numRef>
              <c:f>№2!$J$2:$J$6</c:f>
              <c:numCache>
                <c:formatCode>0.0</c:formatCode>
                <c:ptCount val="4"/>
                <c:pt idx="0">
                  <c:v>24.016563146997928</c:v>
                </c:pt>
                <c:pt idx="1">
                  <c:v>51.19047619047619</c:v>
                </c:pt>
                <c:pt idx="2">
                  <c:v>19.657534246575342</c:v>
                </c:pt>
                <c:pt idx="3">
                  <c:v>29.58041958041958</c:v>
                </c:pt>
              </c:numCache>
            </c:numRef>
          </c:xVal>
          <c:yVal>
            <c:numRef>
              <c:f>№2!$AA$2:$AA$6</c:f>
              <c:numCache>
                <c:formatCode>0.0</c:formatCode>
                <c:ptCount val="4"/>
                <c:pt idx="0">
                  <c:v>0.86206896551724133</c:v>
                </c:pt>
                <c:pt idx="1">
                  <c:v>5.2325581395348841</c:v>
                </c:pt>
                <c:pt idx="2">
                  <c:v>1.0452961672473868</c:v>
                </c:pt>
                <c:pt idx="3">
                  <c:v>0.70921985815602839</c:v>
                </c:pt>
              </c:numCache>
            </c:numRef>
          </c:yVal>
          <c:bubbleSize>
            <c:numRef>
              <c:f>№2!$E$2:$E$6</c:f>
              <c:numCache>
                <c:formatCode>General</c:formatCode>
                <c:ptCount val="4"/>
                <c:pt idx="0">
                  <c:v>966</c:v>
                </c:pt>
                <c:pt idx="1">
                  <c:v>672</c:v>
                </c:pt>
                <c:pt idx="2">
                  <c:v>1460</c:v>
                </c:pt>
                <c:pt idx="3">
                  <c:v>1430</c:v>
                </c:pt>
              </c:numCache>
            </c:numRef>
          </c:bubbleSize>
          <c:bubble3D val="0"/>
          <c:extLst>
            <c:ext xmlns:c16="http://schemas.microsoft.com/office/drawing/2014/chart" uri="{C3380CC4-5D6E-409C-BE32-E72D297353CC}">
              <c16:uniqueId val="{00000002-7A1C-4A70-B664-186D4FDA66FD}"/>
            </c:ext>
          </c:extLst>
        </c:ser>
        <c:ser>
          <c:idx val="11"/>
          <c:order val="3"/>
          <c:tx>
            <c:strRef>
              <c:f>№2!$AC$1</c:f>
              <c:strCache>
                <c:ptCount val="1"/>
                <c:pt idx="0">
                  <c:v>Орлов (ЛДПР)</c:v>
                </c:pt>
              </c:strCache>
            </c:strRef>
          </c:tx>
          <c:spPr>
            <a:solidFill>
              <a:srgbClr val="FF9900">
                <a:alpha val="49804"/>
              </a:srgbClr>
            </a:solidFill>
            <a:ln w="25400">
              <a:noFill/>
            </a:ln>
            <a:effectLst/>
          </c:spPr>
          <c:invertIfNegative val="0"/>
          <c:xVal>
            <c:numRef>
              <c:f>№2!$J$2:$J$6</c:f>
              <c:numCache>
                <c:formatCode>0.0</c:formatCode>
                <c:ptCount val="4"/>
                <c:pt idx="0">
                  <c:v>24.016563146997928</c:v>
                </c:pt>
                <c:pt idx="1">
                  <c:v>51.19047619047619</c:v>
                </c:pt>
                <c:pt idx="2">
                  <c:v>19.657534246575342</c:v>
                </c:pt>
                <c:pt idx="3">
                  <c:v>29.58041958041958</c:v>
                </c:pt>
              </c:numCache>
            </c:numRef>
          </c:xVal>
          <c:yVal>
            <c:numRef>
              <c:f>№2!$AC$2:$AC$6</c:f>
              <c:numCache>
                <c:formatCode>0.0</c:formatCode>
                <c:ptCount val="4"/>
                <c:pt idx="0">
                  <c:v>14.655172413793103</c:v>
                </c:pt>
                <c:pt idx="1">
                  <c:v>1.4534883720930232</c:v>
                </c:pt>
                <c:pt idx="2">
                  <c:v>3.8327526132404182</c:v>
                </c:pt>
                <c:pt idx="3">
                  <c:v>13.238770685579196</c:v>
                </c:pt>
              </c:numCache>
            </c:numRef>
          </c:yVal>
          <c:bubbleSize>
            <c:numRef>
              <c:f>№2!$E$2:$E$6</c:f>
              <c:numCache>
                <c:formatCode>General</c:formatCode>
                <c:ptCount val="4"/>
                <c:pt idx="0">
                  <c:v>966</c:v>
                </c:pt>
                <c:pt idx="1">
                  <c:v>672</c:v>
                </c:pt>
                <c:pt idx="2">
                  <c:v>1460</c:v>
                </c:pt>
                <c:pt idx="3">
                  <c:v>1430</c:v>
                </c:pt>
              </c:numCache>
            </c:numRef>
          </c:bubbleSize>
          <c:bubble3D val="0"/>
          <c:extLst>
            <c:ext xmlns:c16="http://schemas.microsoft.com/office/drawing/2014/chart" uri="{C3380CC4-5D6E-409C-BE32-E72D297353CC}">
              <c16:uniqueId val="{00000003-7A1C-4A70-B664-186D4FDA66FD}"/>
            </c:ext>
          </c:extLst>
        </c:ser>
        <c:ser>
          <c:idx val="2"/>
          <c:order val="4"/>
          <c:tx>
            <c:strRef>
              <c:f>№2!$AE$1</c:f>
              <c:strCache>
                <c:ptCount val="1"/>
                <c:pt idx="0">
                  <c:v>Сорокин (СР)</c:v>
                </c:pt>
              </c:strCache>
            </c:strRef>
          </c:tx>
          <c:spPr>
            <a:solidFill>
              <a:srgbClr val="6666FF">
                <a:alpha val="50000"/>
              </a:srgbClr>
            </a:solidFill>
            <a:ln w="25400">
              <a:noFill/>
            </a:ln>
          </c:spPr>
          <c:invertIfNegative val="0"/>
          <c:xVal>
            <c:numRef>
              <c:f>№2!$J$2:$J$6</c:f>
              <c:numCache>
                <c:formatCode>0.0</c:formatCode>
                <c:ptCount val="4"/>
                <c:pt idx="0">
                  <c:v>24.016563146997928</c:v>
                </c:pt>
                <c:pt idx="1">
                  <c:v>51.19047619047619</c:v>
                </c:pt>
                <c:pt idx="2">
                  <c:v>19.657534246575342</c:v>
                </c:pt>
                <c:pt idx="3">
                  <c:v>29.58041958041958</c:v>
                </c:pt>
              </c:numCache>
            </c:numRef>
          </c:xVal>
          <c:yVal>
            <c:numRef>
              <c:f>№2!$AE$2:$AE$6</c:f>
              <c:numCache>
                <c:formatCode>0.0</c:formatCode>
                <c:ptCount val="4"/>
                <c:pt idx="0">
                  <c:v>12.5</c:v>
                </c:pt>
                <c:pt idx="1">
                  <c:v>3.7790697674418605</c:v>
                </c:pt>
                <c:pt idx="2">
                  <c:v>10.104529616724738</c:v>
                </c:pt>
                <c:pt idx="3">
                  <c:v>19.621749408983451</c:v>
                </c:pt>
              </c:numCache>
            </c:numRef>
          </c:yVal>
          <c:bubbleSize>
            <c:numRef>
              <c:f>№2!$E$2:$E$6</c:f>
              <c:numCache>
                <c:formatCode>General</c:formatCode>
                <c:ptCount val="4"/>
                <c:pt idx="0">
                  <c:v>966</c:v>
                </c:pt>
                <c:pt idx="1">
                  <c:v>672</c:v>
                </c:pt>
                <c:pt idx="2">
                  <c:v>1460</c:v>
                </c:pt>
                <c:pt idx="3">
                  <c:v>1430</c:v>
                </c:pt>
              </c:numCache>
            </c:numRef>
          </c:bubbleSize>
          <c:bubble3D val="0"/>
          <c:extLst>
            <c:ext xmlns:c16="http://schemas.microsoft.com/office/drawing/2014/chart" uri="{C3380CC4-5D6E-409C-BE32-E72D297353CC}">
              <c16:uniqueId val="{00000004-7A1C-4A70-B664-186D4FDA66FD}"/>
            </c:ext>
          </c:extLst>
        </c:ser>
        <c:ser>
          <c:idx val="0"/>
          <c:order val="5"/>
          <c:tx>
            <c:strRef>
              <c:f>№2!$R$1</c:f>
              <c:strCache>
                <c:ptCount val="1"/>
                <c:pt idx="0">
                  <c:v>Недействительных</c:v>
                </c:pt>
              </c:strCache>
            </c:strRef>
          </c:tx>
          <c:spPr>
            <a:noFill/>
            <a:ln w="6350">
              <a:solidFill>
                <a:srgbClr val="000000"/>
              </a:solidFill>
            </a:ln>
          </c:spPr>
          <c:invertIfNegative val="0"/>
          <c:xVal>
            <c:numRef>
              <c:f>№2!$J$2:$J$6</c:f>
              <c:numCache>
                <c:formatCode>0.0</c:formatCode>
                <c:ptCount val="4"/>
                <c:pt idx="0">
                  <c:v>24.016563146997928</c:v>
                </c:pt>
                <c:pt idx="1">
                  <c:v>51.19047619047619</c:v>
                </c:pt>
                <c:pt idx="2">
                  <c:v>19.657534246575342</c:v>
                </c:pt>
                <c:pt idx="3">
                  <c:v>29.58041958041958</c:v>
                </c:pt>
              </c:numCache>
            </c:numRef>
          </c:xVal>
          <c:yVal>
            <c:numRef>
              <c:f>№2!$R$2:$R$6</c:f>
              <c:numCache>
                <c:formatCode>0.0</c:formatCode>
                <c:ptCount val="4"/>
                <c:pt idx="0">
                  <c:v>2.5862068965517242</c:v>
                </c:pt>
                <c:pt idx="1">
                  <c:v>9.8837209302325579</c:v>
                </c:pt>
                <c:pt idx="2">
                  <c:v>2.4390243902439024</c:v>
                </c:pt>
                <c:pt idx="3">
                  <c:v>3.3096926713947989</c:v>
                </c:pt>
              </c:numCache>
            </c:numRef>
          </c:yVal>
          <c:bubbleSize>
            <c:numRef>
              <c:f>№2!$E$2:$E$6</c:f>
              <c:numCache>
                <c:formatCode>General</c:formatCode>
                <c:ptCount val="4"/>
                <c:pt idx="0">
                  <c:v>966</c:v>
                </c:pt>
                <c:pt idx="1">
                  <c:v>672</c:v>
                </c:pt>
                <c:pt idx="2">
                  <c:v>1460</c:v>
                </c:pt>
                <c:pt idx="3">
                  <c:v>1430</c:v>
                </c:pt>
              </c:numCache>
            </c:numRef>
          </c:bubbleSize>
          <c:bubble3D val="0"/>
          <c:extLst>
            <c:ext xmlns:c16="http://schemas.microsoft.com/office/drawing/2014/chart" uri="{C3380CC4-5D6E-409C-BE32-E72D297353CC}">
              <c16:uniqueId val="{00000008-7A1C-4A70-B664-186D4FDA66FD}"/>
            </c:ext>
          </c:extLst>
        </c:ser>
        <c:ser>
          <c:idx val="1"/>
          <c:order val="6"/>
          <c:tx>
            <c:strRef>
              <c:f>№2!$P$1</c:f>
              <c:strCache>
                <c:ptCount val="1"/>
                <c:pt idx="0">
                  <c:v>Надомка</c:v>
                </c:pt>
              </c:strCache>
            </c:strRef>
          </c:tx>
          <c:spPr>
            <a:noFill/>
            <a:ln w="6350">
              <a:solidFill>
                <a:srgbClr val="000000"/>
              </a:solidFill>
              <a:prstDash val="sysDot"/>
            </a:ln>
          </c:spPr>
          <c:invertIfNegative val="0"/>
          <c:xVal>
            <c:numRef>
              <c:f>№2!$J$2:$J$6</c:f>
              <c:numCache>
                <c:formatCode>0.0</c:formatCode>
                <c:ptCount val="4"/>
                <c:pt idx="0">
                  <c:v>24.016563146997928</c:v>
                </c:pt>
                <c:pt idx="1">
                  <c:v>51.19047619047619</c:v>
                </c:pt>
                <c:pt idx="2">
                  <c:v>19.657534246575342</c:v>
                </c:pt>
                <c:pt idx="3">
                  <c:v>29.58041958041958</c:v>
                </c:pt>
              </c:numCache>
            </c:numRef>
          </c:xVal>
          <c:yVal>
            <c:numRef>
              <c:f>№2!$P$2:$P$6</c:f>
              <c:numCache>
                <c:formatCode>0.0</c:formatCode>
                <c:ptCount val="4"/>
                <c:pt idx="0">
                  <c:v>42.672413793103445</c:v>
                </c:pt>
                <c:pt idx="1">
                  <c:v>9.8837209302325579</c:v>
                </c:pt>
                <c:pt idx="2">
                  <c:v>19.16376306620209</c:v>
                </c:pt>
                <c:pt idx="3">
                  <c:v>14.184397163120567</c:v>
                </c:pt>
              </c:numCache>
            </c:numRef>
          </c:yVal>
          <c:bubbleSize>
            <c:numRef>
              <c:f>№2!$E$2:$E$6</c:f>
              <c:numCache>
                <c:formatCode>General</c:formatCode>
                <c:ptCount val="4"/>
                <c:pt idx="0">
                  <c:v>966</c:v>
                </c:pt>
                <c:pt idx="1">
                  <c:v>672</c:v>
                </c:pt>
                <c:pt idx="2">
                  <c:v>1460</c:v>
                </c:pt>
                <c:pt idx="3">
                  <c:v>1430</c:v>
                </c:pt>
              </c:numCache>
            </c:numRef>
          </c:bubbleSize>
          <c:bubble3D val="0"/>
          <c:extLst>
            <c:ext xmlns:c16="http://schemas.microsoft.com/office/drawing/2014/chart" uri="{C3380CC4-5D6E-409C-BE32-E72D297353CC}">
              <c16:uniqueId val="{00000009-7A1C-4A70-B664-186D4FDA66FD}"/>
            </c:ext>
          </c:extLst>
        </c:ser>
        <c:ser>
          <c:idx val="17"/>
          <c:order val="7"/>
          <c:tx>
            <c:strRef>
              <c:f>№2!$V$43</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№2!$V$44</c:f>
              <c:numCache>
                <c:formatCode>General</c:formatCode>
                <c:ptCount val="1"/>
                <c:pt idx="0">
                  <c:v>5646</c:v>
                </c:pt>
              </c:numCache>
            </c:numRef>
          </c:bubbleSize>
          <c:bubble3D val="0"/>
          <c:extLst>
            <c:ext xmlns:c16="http://schemas.microsoft.com/office/drawing/2014/chart" uri="{C3380CC4-5D6E-409C-BE32-E72D297353CC}">
              <c16:uniqueId val="{0000000A-7A1C-4A70-B664-186D4FDA66FD}"/>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454633898072059"/>
          <c:y val="0.1025620694536567"/>
          <c:w val="0.16224020216582116"/>
          <c:h val="0.25489012770847103"/>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№3!$W$1</c:f>
              <c:strCache>
                <c:ptCount val="1"/>
                <c:pt idx="0">
                  <c:v>Бахтинов (ЛДПР)</c:v>
                </c:pt>
              </c:strCache>
            </c:strRef>
          </c:tx>
          <c:spPr>
            <a:solidFill>
              <a:srgbClr val="FF9900">
                <a:alpha val="50000"/>
              </a:srgbClr>
            </a:solidFill>
            <a:ln w="25400">
              <a:noFill/>
            </a:ln>
          </c:spPr>
          <c:invertIfNegative val="0"/>
          <c:xVal>
            <c:numRef>
              <c:f>№3!$J$2:$J$6</c:f>
              <c:numCache>
                <c:formatCode>0.0</c:formatCode>
                <c:ptCount val="4"/>
                <c:pt idx="0">
                  <c:v>25</c:v>
                </c:pt>
                <c:pt idx="1">
                  <c:v>23.047127178825047</c:v>
                </c:pt>
                <c:pt idx="2">
                  <c:v>28.241845664280032</c:v>
                </c:pt>
                <c:pt idx="3">
                  <c:v>42.424242424242422</c:v>
                </c:pt>
              </c:numCache>
            </c:numRef>
          </c:xVal>
          <c:yVal>
            <c:numRef>
              <c:f>№3!$W$2:$W$6</c:f>
              <c:numCache>
                <c:formatCode>0.0</c:formatCode>
                <c:ptCount val="4"/>
                <c:pt idx="0">
                  <c:v>4.2986425339366514</c:v>
                </c:pt>
                <c:pt idx="1">
                  <c:v>3.9215686274509802</c:v>
                </c:pt>
                <c:pt idx="2">
                  <c:v>2.2598870056497176</c:v>
                </c:pt>
                <c:pt idx="3">
                  <c:v>1.7857142857142858</c:v>
                </c:pt>
              </c:numCache>
            </c:numRef>
          </c:yVal>
          <c:bubbleSize>
            <c:numRef>
              <c:f>№3!$E$2:$E$6</c:f>
              <c:numCache>
                <c:formatCode>General</c:formatCode>
                <c:ptCount val="4"/>
                <c:pt idx="0">
                  <c:v>1768</c:v>
                </c:pt>
                <c:pt idx="1">
                  <c:v>1549</c:v>
                </c:pt>
                <c:pt idx="2">
                  <c:v>1257</c:v>
                </c:pt>
                <c:pt idx="3">
                  <c:v>792</c:v>
                </c:pt>
              </c:numCache>
            </c:numRef>
          </c:bubbleSize>
          <c:bubble3D val="0"/>
          <c:extLst>
            <c:ext xmlns:c16="http://schemas.microsoft.com/office/drawing/2014/chart" uri="{C3380CC4-5D6E-409C-BE32-E72D297353CC}">
              <c16:uniqueId val="{00000000-23D1-41CD-A2DC-F1055321D0A5}"/>
            </c:ext>
          </c:extLst>
        </c:ser>
        <c:ser>
          <c:idx val="9"/>
          <c:order val="1"/>
          <c:tx>
            <c:strRef>
              <c:f>№3!$Y$1</c:f>
              <c:strCache>
                <c:ptCount val="1"/>
                <c:pt idx="0">
                  <c:v>Бурмистенков (ЕР)</c:v>
                </c:pt>
              </c:strCache>
            </c:strRef>
          </c:tx>
          <c:spPr>
            <a:solidFill>
              <a:srgbClr val="0000FF">
                <a:alpha val="50000"/>
              </a:srgbClr>
            </a:solidFill>
            <a:ln w="25400"/>
          </c:spPr>
          <c:invertIfNegative val="0"/>
          <c:xVal>
            <c:numRef>
              <c:f>№3!$J$2:$J$6</c:f>
              <c:numCache>
                <c:formatCode>0.0</c:formatCode>
                <c:ptCount val="4"/>
                <c:pt idx="0">
                  <c:v>25</c:v>
                </c:pt>
                <c:pt idx="1">
                  <c:v>23.047127178825047</c:v>
                </c:pt>
                <c:pt idx="2">
                  <c:v>28.241845664280032</c:v>
                </c:pt>
                <c:pt idx="3">
                  <c:v>42.424242424242422</c:v>
                </c:pt>
              </c:numCache>
            </c:numRef>
          </c:xVal>
          <c:yVal>
            <c:numRef>
              <c:f>№3!$Y$2:$Y$6</c:f>
              <c:numCache>
                <c:formatCode>0.0</c:formatCode>
                <c:ptCount val="4"/>
                <c:pt idx="0">
                  <c:v>50.226244343891402</c:v>
                </c:pt>
                <c:pt idx="1">
                  <c:v>55.742296918767508</c:v>
                </c:pt>
                <c:pt idx="2">
                  <c:v>73.44632768361582</c:v>
                </c:pt>
                <c:pt idx="3">
                  <c:v>81.547619047619051</c:v>
                </c:pt>
              </c:numCache>
            </c:numRef>
          </c:yVal>
          <c:bubbleSize>
            <c:numRef>
              <c:f>№3!$E$2:$E$6</c:f>
              <c:numCache>
                <c:formatCode>General</c:formatCode>
                <c:ptCount val="4"/>
                <c:pt idx="0">
                  <c:v>1768</c:v>
                </c:pt>
                <c:pt idx="1">
                  <c:v>1549</c:v>
                </c:pt>
                <c:pt idx="2">
                  <c:v>1257</c:v>
                </c:pt>
                <c:pt idx="3">
                  <c:v>792</c:v>
                </c:pt>
              </c:numCache>
            </c:numRef>
          </c:bubbleSize>
          <c:bubble3D val="0"/>
          <c:extLst>
            <c:ext xmlns:c16="http://schemas.microsoft.com/office/drawing/2014/chart" uri="{C3380CC4-5D6E-409C-BE32-E72D297353CC}">
              <c16:uniqueId val="{00000001-23D1-41CD-A2DC-F1055321D0A5}"/>
            </c:ext>
          </c:extLst>
        </c:ser>
        <c:ser>
          <c:idx val="10"/>
          <c:order val="2"/>
          <c:tx>
            <c:strRef>
              <c:f>№3!$AA$1</c:f>
              <c:strCache>
                <c:ptCount val="1"/>
                <c:pt idx="0">
                  <c:v>Васина</c:v>
                </c:pt>
              </c:strCache>
            </c:strRef>
          </c:tx>
          <c:spPr>
            <a:solidFill>
              <a:srgbClr val="000000">
                <a:alpha val="50000"/>
              </a:srgbClr>
            </a:solidFill>
            <a:ln w="25400">
              <a:noFill/>
            </a:ln>
            <a:effectLst/>
          </c:spPr>
          <c:invertIfNegative val="0"/>
          <c:xVal>
            <c:numRef>
              <c:f>№3!$J$2:$J$6</c:f>
              <c:numCache>
                <c:formatCode>0.0</c:formatCode>
                <c:ptCount val="4"/>
                <c:pt idx="0">
                  <c:v>25</c:v>
                </c:pt>
                <c:pt idx="1">
                  <c:v>23.047127178825047</c:v>
                </c:pt>
                <c:pt idx="2">
                  <c:v>28.241845664280032</c:v>
                </c:pt>
                <c:pt idx="3">
                  <c:v>42.424242424242422</c:v>
                </c:pt>
              </c:numCache>
            </c:numRef>
          </c:xVal>
          <c:yVal>
            <c:numRef>
              <c:f>№3!$AA$2:$AA$6</c:f>
              <c:numCache>
                <c:formatCode>0.0</c:formatCode>
                <c:ptCount val="4"/>
                <c:pt idx="0">
                  <c:v>32.352941176470587</c:v>
                </c:pt>
                <c:pt idx="1">
                  <c:v>22.408963585434172</c:v>
                </c:pt>
                <c:pt idx="2">
                  <c:v>13.841807909604519</c:v>
                </c:pt>
                <c:pt idx="3">
                  <c:v>7.7380952380952381</c:v>
                </c:pt>
              </c:numCache>
            </c:numRef>
          </c:yVal>
          <c:bubbleSize>
            <c:numRef>
              <c:f>№3!$E$2:$E$6</c:f>
              <c:numCache>
                <c:formatCode>General</c:formatCode>
                <c:ptCount val="4"/>
                <c:pt idx="0">
                  <c:v>1768</c:v>
                </c:pt>
                <c:pt idx="1">
                  <c:v>1549</c:v>
                </c:pt>
                <c:pt idx="2">
                  <c:v>1257</c:v>
                </c:pt>
                <c:pt idx="3">
                  <c:v>792</c:v>
                </c:pt>
              </c:numCache>
            </c:numRef>
          </c:bubbleSize>
          <c:bubble3D val="0"/>
          <c:extLst>
            <c:ext xmlns:c16="http://schemas.microsoft.com/office/drawing/2014/chart" uri="{C3380CC4-5D6E-409C-BE32-E72D297353CC}">
              <c16:uniqueId val="{00000002-23D1-41CD-A2DC-F1055321D0A5}"/>
            </c:ext>
          </c:extLst>
        </c:ser>
        <c:ser>
          <c:idx val="11"/>
          <c:order val="3"/>
          <c:tx>
            <c:strRef>
              <c:f>№3!$AC$1</c:f>
              <c:strCache>
                <c:ptCount val="1"/>
                <c:pt idx="0">
                  <c:v>Голубев (пенсионеров)</c:v>
                </c:pt>
              </c:strCache>
            </c:strRef>
          </c:tx>
          <c:spPr>
            <a:solidFill>
              <a:srgbClr val="C89600">
                <a:alpha val="50000"/>
              </a:srgbClr>
            </a:solidFill>
            <a:ln w="25400">
              <a:noFill/>
            </a:ln>
            <a:effectLst/>
          </c:spPr>
          <c:invertIfNegative val="0"/>
          <c:xVal>
            <c:numRef>
              <c:f>№3!$J$2:$J$6</c:f>
              <c:numCache>
                <c:formatCode>0.0</c:formatCode>
                <c:ptCount val="4"/>
                <c:pt idx="0">
                  <c:v>25</c:v>
                </c:pt>
                <c:pt idx="1">
                  <c:v>23.047127178825047</c:v>
                </c:pt>
                <c:pt idx="2">
                  <c:v>28.241845664280032</c:v>
                </c:pt>
                <c:pt idx="3">
                  <c:v>42.424242424242422</c:v>
                </c:pt>
              </c:numCache>
            </c:numRef>
          </c:xVal>
          <c:yVal>
            <c:numRef>
              <c:f>№3!$AC$2:$AC$6</c:f>
              <c:numCache>
                <c:formatCode>0.0</c:formatCode>
                <c:ptCount val="4"/>
                <c:pt idx="0">
                  <c:v>4.751131221719457</c:v>
                </c:pt>
                <c:pt idx="1">
                  <c:v>5.0420168067226889</c:v>
                </c:pt>
                <c:pt idx="2">
                  <c:v>2.2598870056497176</c:v>
                </c:pt>
                <c:pt idx="3">
                  <c:v>2.0833333333333335</c:v>
                </c:pt>
              </c:numCache>
            </c:numRef>
          </c:yVal>
          <c:bubbleSize>
            <c:numRef>
              <c:f>№3!$E$2:$E$6</c:f>
              <c:numCache>
                <c:formatCode>General</c:formatCode>
                <c:ptCount val="4"/>
                <c:pt idx="0">
                  <c:v>1768</c:v>
                </c:pt>
                <c:pt idx="1">
                  <c:v>1549</c:v>
                </c:pt>
                <c:pt idx="2">
                  <c:v>1257</c:v>
                </c:pt>
                <c:pt idx="3">
                  <c:v>792</c:v>
                </c:pt>
              </c:numCache>
            </c:numRef>
          </c:bubbleSize>
          <c:bubble3D val="0"/>
          <c:extLst>
            <c:ext xmlns:c16="http://schemas.microsoft.com/office/drawing/2014/chart" uri="{C3380CC4-5D6E-409C-BE32-E72D297353CC}">
              <c16:uniqueId val="{00000003-23D1-41CD-A2DC-F1055321D0A5}"/>
            </c:ext>
          </c:extLst>
        </c:ser>
        <c:ser>
          <c:idx val="2"/>
          <c:order val="4"/>
          <c:tx>
            <c:strRef>
              <c:f>№3!$AE$1</c:f>
              <c:strCache>
                <c:ptCount val="1"/>
                <c:pt idx="0">
                  <c:v>Дедюжев (СР)</c:v>
                </c:pt>
              </c:strCache>
            </c:strRef>
          </c:tx>
          <c:spPr>
            <a:solidFill>
              <a:srgbClr val="6666FF">
                <a:alpha val="50000"/>
              </a:srgbClr>
            </a:solidFill>
            <a:ln w="25400">
              <a:noFill/>
            </a:ln>
          </c:spPr>
          <c:invertIfNegative val="0"/>
          <c:xVal>
            <c:numRef>
              <c:f>№3!$J$2:$J$6</c:f>
              <c:numCache>
                <c:formatCode>0.0</c:formatCode>
                <c:ptCount val="4"/>
                <c:pt idx="0">
                  <c:v>25</c:v>
                </c:pt>
                <c:pt idx="1">
                  <c:v>23.047127178825047</c:v>
                </c:pt>
                <c:pt idx="2">
                  <c:v>28.241845664280032</c:v>
                </c:pt>
                <c:pt idx="3">
                  <c:v>42.424242424242422</c:v>
                </c:pt>
              </c:numCache>
            </c:numRef>
          </c:xVal>
          <c:yVal>
            <c:numRef>
              <c:f>№3!$AE$2:$AE$6</c:f>
              <c:numCache>
                <c:formatCode>0.0</c:formatCode>
                <c:ptCount val="4"/>
                <c:pt idx="0">
                  <c:v>2.4886877828054299</c:v>
                </c:pt>
                <c:pt idx="1">
                  <c:v>7.0028011204481793</c:v>
                </c:pt>
                <c:pt idx="2">
                  <c:v>4.2372881355932206</c:v>
                </c:pt>
                <c:pt idx="3">
                  <c:v>1.7857142857142858</c:v>
                </c:pt>
              </c:numCache>
            </c:numRef>
          </c:yVal>
          <c:bubbleSize>
            <c:numRef>
              <c:f>№3!$E$2:$E$6</c:f>
              <c:numCache>
                <c:formatCode>General</c:formatCode>
                <c:ptCount val="4"/>
                <c:pt idx="0">
                  <c:v>1768</c:v>
                </c:pt>
                <c:pt idx="1">
                  <c:v>1549</c:v>
                </c:pt>
                <c:pt idx="2">
                  <c:v>1257</c:v>
                </c:pt>
                <c:pt idx="3">
                  <c:v>792</c:v>
                </c:pt>
              </c:numCache>
            </c:numRef>
          </c:bubbleSize>
          <c:bubble3D val="0"/>
          <c:extLst>
            <c:ext xmlns:c16="http://schemas.microsoft.com/office/drawing/2014/chart" uri="{C3380CC4-5D6E-409C-BE32-E72D297353CC}">
              <c16:uniqueId val="{00000004-23D1-41CD-A2DC-F1055321D0A5}"/>
            </c:ext>
          </c:extLst>
        </c:ser>
        <c:ser>
          <c:idx val="3"/>
          <c:order val="5"/>
          <c:tx>
            <c:strRef>
              <c:f>№3!$AG$1</c:f>
              <c:strCache>
                <c:ptCount val="1"/>
                <c:pt idx="0">
                  <c:v>Костроменков</c:v>
                </c:pt>
              </c:strCache>
            </c:strRef>
          </c:tx>
          <c:spPr>
            <a:solidFill>
              <a:srgbClr val="FF0000">
                <a:alpha val="50000"/>
              </a:srgbClr>
            </a:solidFill>
            <a:ln w="25400">
              <a:noFill/>
            </a:ln>
          </c:spPr>
          <c:invertIfNegative val="0"/>
          <c:xVal>
            <c:numRef>
              <c:f>№3!$J$2:$J$6</c:f>
              <c:numCache>
                <c:formatCode>0.0</c:formatCode>
                <c:ptCount val="4"/>
                <c:pt idx="0">
                  <c:v>25</c:v>
                </c:pt>
                <c:pt idx="1">
                  <c:v>23.047127178825047</c:v>
                </c:pt>
                <c:pt idx="2">
                  <c:v>28.241845664280032</c:v>
                </c:pt>
                <c:pt idx="3">
                  <c:v>42.424242424242422</c:v>
                </c:pt>
              </c:numCache>
            </c:numRef>
          </c:xVal>
          <c:yVal>
            <c:numRef>
              <c:f>№3!$AG$2:$AG$6</c:f>
              <c:numCache>
                <c:formatCode>0.0</c:formatCode>
                <c:ptCount val="4"/>
                <c:pt idx="0">
                  <c:v>1.3574660633484164</c:v>
                </c:pt>
                <c:pt idx="1">
                  <c:v>2.5210084033613445</c:v>
                </c:pt>
                <c:pt idx="2">
                  <c:v>1.4124293785310735</c:v>
                </c:pt>
                <c:pt idx="3">
                  <c:v>1.4880952380952381</c:v>
                </c:pt>
              </c:numCache>
            </c:numRef>
          </c:yVal>
          <c:bubbleSize>
            <c:numRef>
              <c:f>№3!$E$2:$E$6</c:f>
              <c:numCache>
                <c:formatCode>General</c:formatCode>
                <c:ptCount val="4"/>
                <c:pt idx="0">
                  <c:v>1768</c:v>
                </c:pt>
                <c:pt idx="1">
                  <c:v>1549</c:v>
                </c:pt>
                <c:pt idx="2">
                  <c:v>1257</c:v>
                </c:pt>
                <c:pt idx="3">
                  <c:v>792</c:v>
                </c:pt>
              </c:numCache>
            </c:numRef>
          </c:bubbleSize>
          <c:bubble3D val="0"/>
          <c:extLst>
            <c:ext xmlns:c16="http://schemas.microsoft.com/office/drawing/2014/chart" uri="{C3380CC4-5D6E-409C-BE32-E72D297353CC}">
              <c16:uniqueId val="{00000005-23D1-41CD-A2DC-F1055321D0A5}"/>
            </c:ext>
          </c:extLst>
        </c:ser>
        <c:ser>
          <c:idx val="0"/>
          <c:order val="6"/>
          <c:tx>
            <c:strRef>
              <c:f>№3!$R$1</c:f>
              <c:strCache>
                <c:ptCount val="1"/>
                <c:pt idx="0">
                  <c:v>Недействительных</c:v>
                </c:pt>
              </c:strCache>
            </c:strRef>
          </c:tx>
          <c:spPr>
            <a:noFill/>
            <a:ln w="6350">
              <a:solidFill>
                <a:srgbClr val="000000"/>
              </a:solidFill>
            </a:ln>
          </c:spPr>
          <c:invertIfNegative val="0"/>
          <c:xVal>
            <c:numRef>
              <c:f>№3!$J$2:$J$6</c:f>
              <c:numCache>
                <c:formatCode>0.0</c:formatCode>
                <c:ptCount val="4"/>
                <c:pt idx="0">
                  <c:v>25</c:v>
                </c:pt>
                <c:pt idx="1">
                  <c:v>23.047127178825047</c:v>
                </c:pt>
                <c:pt idx="2">
                  <c:v>28.241845664280032</c:v>
                </c:pt>
                <c:pt idx="3">
                  <c:v>42.424242424242422</c:v>
                </c:pt>
              </c:numCache>
            </c:numRef>
          </c:xVal>
          <c:yVal>
            <c:numRef>
              <c:f>№3!$R$2:$R$6</c:f>
              <c:numCache>
                <c:formatCode>0.0</c:formatCode>
                <c:ptCount val="4"/>
                <c:pt idx="0">
                  <c:v>4.5248868778280542</c:v>
                </c:pt>
                <c:pt idx="1">
                  <c:v>3.3613445378151261</c:v>
                </c:pt>
                <c:pt idx="2">
                  <c:v>2.5423728813559321</c:v>
                </c:pt>
                <c:pt idx="3">
                  <c:v>3.5714285714285716</c:v>
                </c:pt>
              </c:numCache>
            </c:numRef>
          </c:yVal>
          <c:bubbleSize>
            <c:numRef>
              <c:f>№3!$E$2:$E$6</c:f>
              <c:numCache>
                <c:formatCode>General</c:formatCode>
                <c:ptCount val="4"/>
                <c:pt idx="0">
                  <c:v>1768</c:v>
                </c:pt>
                <c:pt idx="1">
                  <c:v>1549</c:v>
                </c:pt>
                <c:pt idx="2">
                  <c:v>1257</c:v>
                </c:pt>
                <c:pt idx="3">
                  <c:v>792</c:v>
                </c:pt>
              </c:numCache>
            </c:numRef>
          </c:bubbleSize>
          <c:bubble3D val="0"/>
          <c:extLst>
            <c:ext xmlns:c16="http://schemas.microsoft.com/office/drawing/2014/chart" uri="{C3380CC4-5D6E-409C-BE32-E72D297353CC}">
              <c16:uniqueId val="{00000008-23D1-41CD-A2DC-F1055321D0A5}"/>
            </c:ext>
          </c:extLst>
        </c:ser>
        <c:ser>
          <c:idx val="1"/>
          <c:order val="7"/>
          <c:tx>
            <c:strRef>
              <c:f>№3!$P$1</c:f>
              <c:strCache>
                <c:ptCount val="1"/>
                <c:pt idx="0">
                  <c:v>Надомка</c:v>
                </c:pt>
              </c:strCache>
            </c:strRef>
          </c:tx>
          <c:spPr>
            <a:noFill/>
            <a:ln w="6350">
              <a:solidFill>
                <a:srgbClr val="000000"/>
              </a:solidFill>
              <a:prstDash val="sysDot"/>
            </a:ln>
          </c:spPr>
          <c:invertIfNegative val="0"/>
          <c:xVal>
            <c:numRef>
              <c:f>№3!$J$2:$J$6</c:f>
              <c:numCache>
                <c:formatCode>0.0</c:formatCode>
                <c:ptCount val="4"/>
                <c:pt idx="0">
                  <c:v>25</c:v>
                </c:pt>
                <c:pt idx="1">
                  <c:v>23.047127178825047</c:v>
                </c:pt>
                <c:pt idx="2">
                  <c:v>28.241845664280032</c:v>
                </c:pt>
                <c:pt idx="3">
                  <c:v>42.424242424242422</c:v>
                </c:pt>
              </c:numCache>
            </c:numRef>
          </c:xVal>
          <c:yVal>
            <c:numRef>
              <c:f>№3!$P$2:$P$6</c:f>
              <c:numCache>
                <c:formatCode>0.0</c:formatCode>
                <c:ptCount val="4"/>
                <c:pt idx="0">
                  <c:v>3.1674208144796379</c:v>
                </c:pt>
                <c:pt idx="1">
                  <c:v>5.322128851540616</c:v>
                </c:pt>
                <c:pt idx="2">
                  <c:v>19.209039548022599</c:v>
                </c:pt>
                <c:pt idx="3">
                  <c:v>38.69047619047619</c:v>
                </c:pt>
              </c:numCache>
            </c:numRef>
          </c:yVal>
          <c:bubbleSize>
            <c:numRef>
              <c:f>№3!$E$2:$E$6</c:f>
              <c:numCache>
                <c:formatCode>General</c:formatCode>
                <c:ptCount val="4"/>
                <c:pt idx="0">
                  <c:v>1768</c:v>
                </c:pt>
                <c:pt idx="1">
                  <c:v>1549</c:v>
                </c:pt>
                <c:pt idx="2">
                  <c:v>1257</c:v>
                </c:pt>
                <c:pt idx="3">
                  <c:v>792</c:v>
                </c:pt>
              </c:numCache>
            </c:numRef>
          </c:bubbleSize>
          <c:bubble3D val="0"/>
          <c:extLst>
            <c:ext xmlns:c16="http://schemas.microsoft.com/office/drawing/2014/chart" uri="{C3380CC4-5D6E-409C-BE32-E72D297353CC}">
              <c16:uniqueId val="{00000009-23D1-41CD-A2DC-F1055321D0A5}"/>
            </c:ext>
          </c:extLst>
        </c:ser>
        <c:ser>
          <c:idx val="17"/>
          <c:order val="8"/>
          <c:tx>
            <c:strRef>
              <c:f>№3!$V$43</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№3!$V$44</c:f>
              <c:numCache>
                <c:formatCode>General</c:formatCode>
                <c:ptCount val="1"/>
                <c:pt idx="0">
                  <c:v>5646</c:v>
                </c:pt>
              </c:numCache>
            </c:numRef>
          </c:bubbleSize>
          <c:bubble3D val="0"/>
          <c:extLst>
            <c:ext xmlns:c16="http://schemas.microsoft.com/office/drawing/2014/chart" uri="{C3380CC4-5D6E-409C-BE32-E72D297353CC}">
              <c16:uniqueId val="{0000000A-23D1-41CD-A2DC-F1055321D0A5}"/>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454633898072059"/>
          <c:y val="0.10071436375854764"/>
          <c:w val="0.16224020216582116"/>
          <c:h val="0.28445341883021608"/>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№4!$W$1</c:f>
              <c:strCache>
                <c:ptCount val="1"/>
                <c:pt idx="0">
                  <c:v>Анищенков (ЕР)</c:v>
                </c:pt>
              </c:strCache>
            </c:strRef>
          </c:tx>
          <c:spPr>
            <a:solidFill>
              <a:srgbClr val="0000FF">
                <a:alpha val="50000"/>
              </a:srgbClr>
            </a:solidFill>
            <a:ln w="25400">
              <a:noFill/>
            </a:ln>
          </c:spPr>
          <c:invertIfNegative val="0"/>
          <c:xVal>
            <c:numRef>
              <c:f>№4!$J$2:$J$5</c:f>
              <c:numCache>
                <c:formatCode>0.0</c:formatCode>
                <c:ptCount val="3"/>
                <c:pt idx="0">
                  <c:v>30.51124744376278</c:v>
                </c:pt>
                <c:pt idx="1">
                  <c:v>22.461230615307652</c:v>
                </c:pt>
                <c:pt idx="2">
                  <c:v>27</c:v>
                </c:pt>
              </c:numCache>
            </c:numRef>
          </c:xVal>
          <c:yVal>
            <c:numRef>
              <c:f>№4!$W$2:$W$5</c:f>
              <c:numCache>
                <c:formatCode>0.0</c:formatCode>
                <c:ptCount val="3"/>
                <c:pt idx="0">
                  <c:v>71.045576407506701</c:v>
                </c:pt>
                <c:pt idx="1">
                  <c:v>66.5924276169265</c:v>
                </c:pt>
                <c:pt idx="2">
                  <c:v>77.777777777777771</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0-C61F-4527-9665-6CD462411DC8}"/>
            </c:ext>
          </c:extLst>
        </c:ser>
        <c:ser>
          <c:idx val="9"/>
          <c:order val="1"/>
          <c:tx>
            <c:strRef>
              <c:f>№4!$Y$1</c:f>
              <c:strCache>
                <c:ptCount val="1"/>
                <c:pt idx="0">
                  <c:v>Власов</c:v>
                </c:pt>
              </c:strCache>
            </c:strRef>
          </c:tx>
          <c:spPr>
            <a:solidFill>
              <a:srgbClr val="000000">
                <a:alpha val="50000"/>
              </a:srgbClr>
            </a:solidFill>
            <a:ln w="25400"/>
          </c:spPr>
          <c:invertIfNegative val="0"/>
          <c:xVal>
            <c:numRef>
              <c:f>№4!$J$2:$J$5</c:f>
              <c:numCache>
                <c:formatCode>0.0</c:formatCode>
                <c:ptCount val="3"/>
                <c:pt idx="0">
                  <c:v>30.51124744376278</c:v>
                </c:pt>
                <c:pt idx="1">
                  <c:v>22.461230615307652</c:v>
                </c:pt>
                <c:pt idx="2">
                  <c:v>27</c:v>
                </c:pt>
              </c:numCache>
            </c:numRef>
          </c:xVal>
          <c:yVal>
            <c:numRef>
              <c:f>№4!$Y$2:$Y$5</c:f>
              <c:numCache>
                <c:formatCode>0.0</c:formatCode>
                <c:ptCount val="3"/>
                <c:pt idx="0">
                  <c:v>1.6085790884718498</c:v>
                </c:pt>
                <c:pt idx="1">
                  <c:v>8.908685968819599</c:v>
                </c:pt>
                <c:pt idx="2">
                  <c:v>5.7239057239057241</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1-C61F-4527-9665-6CD462411DC8}"/>
            </c:ext>
          </c:extLst>
        </c:ser>
        <c:ser>
          <c:idx val="10"/>
          <c:order val="2"/>
          <c:tx>
            <c:strRef>
              <c:f>№4!$AA$1</c:f>
              <c:strCache>
                <c:ptCount val="1"/>
                <c:pt idx="0">
                  <c:v>Ганин</c:v>
                </c:pt>
              </c:strCache>
            </c:strRef>
          </c:tx>
          <c:spPr>
            <a:solidFill>
              <a:srgbClr val="FF0000">
                <a:alpha val="49804"/>
              </a:srgbClr>
            </a:solidFill>
            <a:ln w="25400">
              <a:noFill/>
            </a:ln>
            <a:effectLst/>
          </c:spPr>
          <c:invertIfNegative val="0"/>
          <c:xVal>
            <c:numRef>
              <c:f>№4!$J$2:$J$5</c:f>
              <c:numCache>
                <c:formatCode>0.0</c:formatCode>
                <c:ptCount val="3"/>
                <c:pt idx="0">
                  <c:v>30.51124744376278</c:v>
                </c:pt>
                <c:pt idx="1">
                  <c:v>22.461230615307652</c:v>
                </c:pt>
                <c:pt idx="2">
                  <c:v>27</c:v>
                </c:pt>
              </c:numCache>
            </c:numRef>
          </c:xVal>
          <c:yVal>
            <c:numRef>
              <c:f>№4!$AA$2:$AA$5</c:f>
              <c:numCache>
                <c:formatCode>0.0</c:formatCode>
                <c:ptCount val="3"/>
                <c:pt idx="0">
                  <c:v>3.4852546916890081</c:v>
                </c:pt>
                <c:pt idx="1">
                  <c:v>1.7817371937639199</c:v>
                </c:pt>
                <c:pt idx="2">
                  <c:v>0.67340067340067344</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2-C61F-4527-9665-6CD462411DC8}"/>
            </c:ext>
          </c:extLst>
        </c:ser>
        <c:ser>
          <c:idx val="11"/>
          <c:order val="3"/>
          <c:tx>
            <c:strRef>
              <c:f>№4!$AC$1</c:f>
              <c:strCache>
                <c:ptCount val="1"/>
                <c:pt idx="0">
                  <c:v>Доронина</c:v>
                </c:pt>
              </c:strCache>
            </c:strRef>
          </c:tx>
          <c:spPr>
            <a:solidFill>
              <a:srgbClr val="00CC00">
                <a:alpha val="49804"/>
              </a:srgbClr>
            </a:solidFill>
            <a:ln w="25400">
              <a:noFill/>
            </a:ln>
            <a:effectLst/>
          </c:spPr>
          <c:invertIfNegative val="0"/>
          <c:xVal>
            <c:numRef>
              <c:f>№4!$J$2:$J$5</c:f>
              <c:numCache>
                <c:formatCode>0.0</c:formatCode>
                <c:ptCount val="3"/>
                <c:pt idx="0">
                  <c:v>30.51124744376278</c:v>
                </c:pt>
                <c:pt idx="1">
                  <c:v>22.461230615307652</c:v>
                </c:pt>
                <c:pt idx="2">
                  <c:v>27</c:v>
                </c:pt>
              </c:numCache>
            </c:numRef>
          </c:xVal>
          <c:yVal>
            <c:numRef>
              <c:f>№4!$AC$2:$AC$5</c:f>
              <c:numCache>
                <c:formatCode>0.0</c:formatCode>
                <c:ptCount val="3"/>
                <c:pt idx="0">
                  <c:v>8.310991957104557</c:v>
                </c:pt>
                <c:pt idx="1">
                  <c:v>1.7817371937639199</c:v>
                </c:pt>
                <c:pt idx="2">
                  <c:v>2.6936026936026938</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3-C61F-4527-9665-6CD462411DC8}"/>
            </c:ext>
          </c:extLst>
        </c:ser>
        <c:ser>
          <c:idx val="2"/>
          <c:order val="4"/>
          <c:tx>
            <c:strRef>
              <c:f>№4!$AE$1</c:f>
              <c:strCache>
                <c:ptCount val="1"/>
                <c:pt idx="0">
                  <c:v>Калтайс (ЛДПР)</c:v>
                </c:pt>
              </c:strCache>
            </c:strRef>
          </c:tx>
          <c:spPr>
            <a:solidFill>
              <a:srgbClr val="FF9900">
                <a:alpha val="50000"/>
              </a:srgbClr>
            </a:solidFill>
            <a:ln w="25400">
              <a:noFill/>
            </a:ln>
          </c:spPr>
          <c:invertIfNegative val="0"/>
          <c:xVal>
            <c:numRef>
              <c:f>№4!$J$2:$J$5</c:f>
              <c:numCache>
                <c:formatCode>0.0</c:formatCode>
                <c:ptCount val="3"/>
                <c:pt idx="0">
                  <c:v>30.51124744376278</c:v>
                </c:pt>
                <c:pt idx="1">
                  <c:v>22.461230615307652</c:v>
                </c:pt>
                <c:pt idx="2">
                  <c:v>27</c:v>
                </c:pt>
              </c:numCache>
            </c:numRef>
          </c:xVal>
          <c:yVal>
            <c:numRef>
              <c:f>№4!$AE$2:$AE$5</c:f>
              <c:numCache>
                <c:formatCode>0.0</c:formatCode>
                <c:ptCount val="3"/>
                <c:pt idx="0">
                  <c:v>1.7426273458445041</c:v>
                </c:pt>
                <c:pt idx="1">
                  <c:v>2.4498886414253898</c:v>
                </c:pt>
                <c:pt idx="2">
                  <c:v>2.6936026936026938</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A-C61F-4527-9665-6CD462411DC8}"/>
            </c:ext>
          </c:extLst>
        </c:ser>
        <c:ser>
          <c:idx val="3"/>
          <c:order val="5"/>
          <c:tx>
            <c:strRef>
              <c:f>№4!$AG$1</c:f>
              <c:strCache>
                <c:ptCount val="1"/>
                <c:pt idx="0">
                  <c:v>Коротков (пенсионеров)</c:v>
                </c:pt>
              </c:strCache>
            </c:strRef>
          </c:tx>
          <c:spPr>
            <a:solidFill>
              <a:srgbClr val="C89600"/>
            </a:solidFill>
            <a:ln w="25400">
              <a:noFill/>
            </a:ln>
          </c:spPr>
          <c:invertIfNegative val="0"/>
          <c:xVal>
            <c:numRef>
              <c:f>№4!$J$2:$J$5</c:f>
              <c:numCache>
                <c:formatCode>0.0</c:formatCode>
                <c:ptCount val="3"/>
                <c:pt idx="0">
                  <c:v>30.51124744376278</c:v>
                </c:pt>
                <c:pt idx="1">
                  <c:v>22.461230615307652</c:v>
                </c:pt>
                <c:pt idx="2">
                  <c:v>27</c:v>
                </c:pt>
              </c:numCache>
            </c:numRef>
          </c:xVal>
          <c:yVal>
            <c:numRef>
              <c:f>№4!$AG$2:$AG$5</c:f>
              <c:numCache>
                <c:formatCode>0.0</c:formatCode>
                <c:ptCount val="3"/>
                <c:pt idx="0">
                  <c:v>6.4343163538873993</c:v>
                </c:pt>
                <c:pt idx="1">
                  <c:v>6.4587973273942092</c:v>
                </c:pt>
                <c:pt idx="2">
                  <c:v>5.3872053872053876</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B-C61F-4527-9665-6CD462411DC8}"/>
            </c:ext>
          </c:extLst>
        </c:ser>
        <c:ser>
          <c:idx val="12"/>
          <c:order val="6"/>
          <c:tx>
            <c:strRef>
              <c:f>№4!$AI$1</c:f>
              <c:strCache>
                <c:ptCount val="1"/>
                <c:pt idx="0">
                  <c:v>Михайлов (Родина)</c:v>
                </c:pt>
              </c:strCache>
            </c:strRef>
          </c:tx>
          <c:spPr>
            <a:solidFill>
              <a:srgbClr val="9900FF">
                <a:alpha val="50000"/>
              </a:srgbClr>
            </a:solidFill>
            <a:ln w="25400">
              <a:noFill/>
            </a:ln>
          </c:spPr>
          <c:invertIfNegative val="0"/>
          <c:xVal>
            <c:numRef>
              <c:f>№4!$J$2:$J$5</c:f>
              <c:numCache>
                <c:formatCode>0.0</c:formatCode>
                <c:ptCount val="3"/>
                <c:pt idx="0">
                  <c:v>30.51124744376278</c:v>
                </c:pt>
                <c:pt idx="1">
                  <c:v>22.461230615307652</c:v>
                </c:pt>
                <c:pt idx="2">
                  <c:v>27</c:v>
                </c:pt>
              </c:numCache>
            </c:numRef>
          </c:xVal>
          <c:yVal>
            <c:numRef>
              <c:f>№4!$AI$2:$AI$5</c:f>
              <c:numCache>
                <c:formatCode>0.0</c:formatCode>
                <c:ptCount val="3"/>
                <c:pt idx="0">
                  <c:v>1.7426273458445041</c:v>
                </c:pt>
                <c:pt idx="1">
                  <c:v>1.7817371937639199</c:v>
                </c:pt>
                <c:pt idx="2">
                  <c:v>0.33670033670033672</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4-C61F-4527-9665-6CD462411DC8}"/>
            </c:ext>
          </c:extLst>
        </c:ser>
        <c:ser>
          <c:idx val="13"/>
          <c:order val="7"/>
          <c:tx>
            <c:strRef>
              <c:f>№4!$AK$1</c:f>
              <c:strCache>
                <c:ptCount val="1"/>
                <c:pt idx="0">
                  <c:v>Хохлов (СР)</c:v>
                </c:pt>
              </c:strCache>
            </c:strRef>
          </c:tx>
          <c:spPr>
            <a:solidFill>
              <a:srgbClr val="6666FF">
                <a:alpha val="50000"/>
              </a:srgbClr>
            </a:solidFill>
            <a:ln w="25400"/>
          </c:spPr>
          <c:invertIfNegative val="0"/>
          <c:xVal>
            <c:numRef>
              <c:f>№4!$J$2:$J$5</c:f>
              <c:numCache>
                <c:formatCode>0.0</c:formatCode>
                <c:ptCount val="3"/>
                <c:pt idx="0">
                  <c:v>30.51124744376278</c:v>
                </c:pt>
                <c:pt idx="1">
                  <c:v>22.461230615307652</c:v>
                </c:pt>
                <c:pt idx="2">
                  <c:v>27</c:v>
                </c:pt>
              </c:numCache>
            </c:numRef>
          </c:xVal>
          <c:yVal>
            <c:numRef>
              <c:f>№4!$AK$2:$AK$5</c:f>
              <c:numCache>
                <c:formatCode>0.0</c:formatCode>
                <c:ptCount val="3"/>
                <c:pt idx="0">
                  <c:v>0.67024128686327078</c:v>
                </c:pt>
                <c:pt idx="1">
                  <c:v>5.7906458797327396</c:v>
                </c:pt>
                <c:pt idx="2">
                  <c:v>4.0404040404040407</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5-C61F-4527-9665-6CD462411DC8}"/>
            </c:ext>
          </c:extLst>
        </c:ser>
        <c:ser>
          <c:idx val="0"/>
          <c:order val="8"/>
          <c:tx>
            <c:strRef>
              <c:f>№4!$R$1</c:f>
              <c:strCache>
                <c:ptCount val="1"/>
                <c:pt idx="0">
                  <c:v>Недействительных</c:v>
                </c:pt>
              </c:strCache>
            </c:strRef>
          </c:tx>
          <c:spPr>
            <a:noFill/>
            <a:ln w="6350">
              <a:solidFill>
                <a:srgbClr val="000000"/>
              </a:solidFill>
            </a:ln>
          </c:spPr>
          <c:invertIfNegative val="0"/>
          <c:xVal>
            <c:numRef>
              <c:f>№4!$J$2:$J$5</c:f>
              <c:numCache>
                <c:formatCode>0.0</c:formatCode>
                <c:ptCount val="3"/>
                <c:pt idx="0">
                  <c:v>30.51124744376278</c:v>
                </c:pt>
                <c:pt idx="1">
                  <c:v>22.461230615307652</c:v>
                </c:pt>
                <c:pt idx="2">
                  <c:v>27</c:v>
                </c:pt>
              </c:numCache>
            </c:numRef>
          </c:xVal>
          <c:yVal>
            <c:numRef>
              <c:f>№4!$R$2:$R$5</c:f>
              <c:numCache>
                <c:formatCode>0.0</c:formatCode>
                <c:ptCount val="3"/>
                <c:pt idx="0">
                  <c:v>4.9597855227882039</c:v>
                </c:pt>
                <c:pt idx="1">
                  <c:v>4.4543429844097995</c:v>
                </c:pt>
                <c:pt idx="2">
                  <c:v>0.67340067340067344</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6-C61F-4527-9665-6CD462411DC8}"/>
            </c:ext>
          </c:extLst>
        </c:ser>
        <c:ser>
          <c:idx val="1"/>
          <c:order val="9"/>
          <c:tx>
            <c:strRef>
              <c:f>№4!$P$1</c:f>
              <c:strCache>
                <c:ptCount val="1"/>
                <c:pt idx="0">
                  <c:v>Надомка</c:v>
                </c:pt>
              </c:strCache>
            </c:strRef>
          </c:tx>
          <c:spPr>
            <a:noFill/>
            <a:ln w="6350" cmpd="sng">
              <a:solidFill>
                <a:srgbClr val="000000"/>
              </a:solidFill>
              <a:prstDash val="sysDot"/>
            </a:ln>
          </c:spPr>
          <c:invertIfNegative val="0"/>
          <c:xVal>
            <c:numRef>
              <c:f>№4!$J$2:$J$5</c:f>
              <c:numCache>
                <c:formatCode>0.0</c:formatCode>
                <c:ptCount val="3"/>
                <c:pt idx="0">
                  <c:v>30.51124744376278</c:v>
                </c:pt>
                <c:pt idx="1">
                  <c:v>22.461230615307652</c:v>
                </c:pt>
                <c:pt idx="2">
                  <c:v>27</c:v>
                </c:pt>
              </c:numCache>
            </c:numRef>
          </c:xVal>
          <c:yVal>
            <c:numRef>
              <c:f>№4!$P$2:$P$5</c:f>
              <c:numCache>
                <c:formatCode>0.0</c:formatCode>
                <c:ptCount val="3"/>
                <c:pt idx="0">
                  <c:v>0.93833780160857905</c:v>
                </c:pt>
                <c:pt idx="1">
                  <c:v>3.1180400890868598</c:v>
                </c:pt>
                <c:pt idx="2">
                  <c:v>2.3569023569023568</c:v>
                </c:pt>
              </c:numCache>
            </c:numRef>
          </c:yVal>
          <c:bubbleSize>
            <c:numRef>
              <c:f>№4!$E$2:$E$5</c:f>
              <c:numCache>
                <c:formatCode>General</c:formatCode>
                <c:ptCount val="3"/>
                <c:pt idx="0">
                  <c:v>2445</c:v>
                </c:pt>
                <c:pt idx="1">
                  <c:v>1999</c:v>
                </c:pt>
                <c:pt idx="2">
                  <c:v>1100</c:v>
                </c:pt>
              </c:numCache>
            </c:numRef>
          </c:bubbleSize>
          <c:bubble3D val="0"/>
          <c:extLst>
            <c:ext xmlns:c16="http://schemas.microsoft.com/office/drawing/2014/chart" uri="{C3380CC4-5D6E-409C-BE32-E72D297353CC}">
              <c16:uniqueId val="{00000007-C61F-4527-9665-6CD462411DC8}"/>
            </c:ext>
          </c:extLst>
        </c:ser>
        <c:ser>
          <c:idx val="17"/>
          <c:order val="10"/>
          <c:tx>
            <c:strRef>
              <c:f>№4!$V$42</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№4!$V$43</c:f>
              <c:numCache>
                <c:formatCode>General</c:formatCode>
                <c:ptCount val="1"/>
                <c:pt idx="0">
                  <c:v>5646</c:v>
                </c:pt>
              </c:numCache>
            </c:numRef>
          </c:bubbleSize>
          <c:bubble3D val="0"/>
          <c:extLst>
            <c:ext xmlns:c16="http://schemas.microsoft.com/office/drawing/2014/chart" uri="{C3380CC4-5D6E-409C-BE32-E72D297353CC}">
              <c16:uniqueId val="{00000008-C61F-4527-9665-6CD462411DC8}"/>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454633898072059"/>
          <c:y val="0.1025620694536567"/>
          <c:w val="0.16224020216582116"/>
          <c:h val="0.34358000107370623"/>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№5!$W$1</c:f>
              <c:strCache>
                <c:ptCount val="1"/>
                <c:pt idx="0">
                  <c:v>Вереина (ЕР)</c:v>
                </c:pt>
              </c:strCache>
            </c:strRef>
          </c:tx>
          <c:spPr>
            <a:solidFill>
              <a:srgbClr val="0000FF">
                <a:alpha val="50000"/>
              </a:srgbClr>
            </a:solidFill>
            <a:ln w="25400">
              <a:noFill/>
            </a:ln>
          </c:spPr>
          <c:invertIfNegative val="0"/>
          <c:xVal>
            <c:numRef>
              <c:f>№5!$J$2:$J$6</c:f>
              <c:numCache>
                <c:formatCode>0.0</c:formatCode>
                <c:ptCount val="4"/>
                <c:pt idx="0">
                  <c:v>29.859154929577464</c:v>
                </c:pt>
                <c:pt idx="1">
                  <c:v>25.856164383561644</c:v>
                </c:pt>
                <c:pt idx="2">
                  <c:v>14.96792587312901</c:v>
                </c:pt>
                <c:pt idx="3">
                  <c:v>36.941176470588232</c:v>
                </c:pt>
              </c:numCache>
            </c:numRef>
          </c:xVal>
          <c:yVal>
            <c:numRef>
              <c:f>№5!$W$2:$W$6</c:f>
              <c:numCache>
                <c:formatCode>0.0</c:formatCode>
                <c:ptCount val="4"/>
                <c:pt idx="0">
                  <c:v>73.20754716981132</c:v>
                </c:pt>
                <c:pt idx="1">
                  <c:v>75.496688741721854</c:v>
                </c:pt>
                <c:pt idx="2">
                  <c:v>67.142857142857139</c:v>
                </c:pt>
                <c:pt idx="3">
                  <c:v>85.531914893617028</c:v>
                </c:pt>
              </c:numCache>
            </c:numRef>
          </c:yVal>
          <c:bubbleSize>
            <c:numRef>
              <c:f>№5!$E$2:$E$6</c:f>
              <c:numCache>
                <c:formatCode>General</c:formatCode>
                <c:ptCount val="4"/>
                <c:pt idx="0">
                  <c:v>1775</c:v>
                </c:pt>
                <c:pt idx="1">
                  <c:v>584</c:v>
                </c:pt>
                <c:pt idx="2">
                  <c:v>1403</c:v>
                </c:pt>
                <c:pt idx="3">
                  <c:v>1275</c:v>
                </c:pt>
              </c:numCache>
            </c:numRef>
          </c:bubbleSize>
          <c:bubble3D val="0"/>
          <c:extLst>
            <c:ext xmlns:c16="http://schemas.microsoft.com/office/drawing/2014/chart" uri="{C3380CC4-5D6E-409C-BE32-E72D297353CC}">
              <c16:uniqueId val="{00000000-E2AA-4E93-99DE-7EEBD687489A}"/>
            </c:ext>
          </c:extLst>
        </c:ser>
        <c:ser>
          <c:idx val="9"/>
          <c:order val="1"/>
          <c:tx>
            <c:strRef>
              <c:f>№5!$Y$1</c:f>
              <c:strCache>
                <c:ptCount val="1"/>
                <c:pt idx="0">
                  <c:v>Паршков (пенсионеров)</c:v>
                </c:pt>
              </c:strCache>
            </c:strRef>
          </c:tx>
          <c:spPr>
            <a:solidFill>
              <a:srgbClr val="C89600">
                <a:alpha val="50000"/>
              </a:srgbClr>
            </a:solidFill>
            <a:ln w="25400"/>
          </c:spPr>
          <c:invertIfNegative val="0"/>
          <c:xVal>
            <c:numRef>
              <c:f>№5!$J$2:$J$6</c:f>
              <c:numCache>
                <c:formatCode>0.0</c:formatCode>
                <c:ptCount val="4"/>
                <c:pt idx="0">
                  <c:v>29.859154929577464</c:v>
                </c:pt>
                <c:pt idx="1">
                  <c:v>25.856164383561644</c:v>
                </c:pt>
                <c:pt idx="2">
                  <c:v>14.96792587312901</c:v>
                </c:pt>
                <c:pt idx="3">
                  <c:v>36.941176470588232</c:v>
                </c:pt>
              </c:numCache>
            </c:numRef>
          </c:xVal>
          <c:yVal>
            <c:numRef>
              <c:f>№5!$Y$2:$Y$6</c:f>
              <c:numCache>
                <c:formatCode>0.0</c:formatCode>
                <c:ptCount val="4"/>
                <c:pt idx="0">
                  <c:v>12.264150943396226</c:v>
                </c:pt>
                <c:pt idx="1">
                  <c:v>9.2715231788079464</c:v>
                </c:pt>
                <c:pt idx="2">
                  <c:v>9.0476190476190474</c:v>
                </c:pt>
                <c:pt idx="3">
                  <c:v>5.5319148936170217</c:v>
                </c:pt>
              </c:numCache>
            </c:numRef>
          </c:yVal>
          <c:bubbleSize>
            <c:numRef>
              <c:f>№5!$E$2:$E$6</c:f>
              <c:numCache>
                <c:formatCode>General</c:formatCode>
                <c:ptCount val="4"/>
                <c:pt idx="0">
                  <c:v>1775</c:v>
                </c:pt>
                <c:pt idx="1">
                  <c:v>584</c:v>
                </c:pt>
                <c:pt idx="2">
                  <c:v>1403</c:v>
                </c:pt>
                <c:pt idx="3">
                  <c:v>1275</c:v>
                </c:pt>
              </c:numCache>
            </c:numRef>
          </c:bubbleSize>
          <c:bubble3D val="0"/>
          <c:extLst>
            <c:ext xmlns:c16="http://schemas.microsoft.com/office/drawing/2014/chart" uri="{C3380CC4-5D6E-409C-BE32-E72D297353CC}">
              <c16:uniqueId val="{00000001-E2AA-4E93-99DE-7EEBD687489A}"/>
            </c:ext>
          </c:extLst>
        </c:ser>
        <c:ser>
          <c:idx val="10"/>
          <c:order val="2"/>
          <c:tx>
            <c:strRef>
              <c:f>№5!$AA$1</c:f>
              <c:strCache>
                <c:ptCount val="1"/>
                <c:pt idx="0">
                  <c:v>Поляков (ЛДПР)</c:v>
                </c:pt>
              </c:strCache>
            </c:strRef>
          </c:tx>
          <c:spPr>
            <a:solidFill>
              <a:srgbClr val="FF9900">
                <a:alpha val="50000"/>
              </a:srgbClr>
            </a:solidFill>
            <a:ln w="25400">
              <a:noFill/>
            </a:ln>
            <a:effectLst/>
          </c:spPr>
          <c:invertIfNegative val="0"/>
          <c:xVal>
            <c:numRef>
              <c:f>№5!$J$2:$J$6</c:f>
              <c:numCache>
                <c:formatCode>0.0</c:formatCode>
                <c:ptCount val="4"/>
                <c:pt idx="0">
                  <c:v>29.859154929577464</c:v>
                </c:pt>
                <c:pt idx="1">
                  <c:v>25.856164383561644</c:v>
                </c:pt>
                <c:pt idx="2">
                  <c:v>14.96792587312901</c:v>
                </c:pt>
                <c:pt idx="3">
                  <c:v>36.941176470588232</c:v>
                </c:pt>
              </c:numCache>
            </c:numRef>
          </c:xVal>
          <c:yVal>
            <c:numRef>
              <c:f>№5!$AA$2:$AA$6</c:f>
              <c:numCache>
                <c:formatCode>0.0</c:formatCode>
                <c:ptCount val="4"/>
                <c:pt idx="0">
                  <c:v>4.3396226415094343</c:v>
                </c:pt>
                <c:pt idx="1">
                  <c:v>1.3245033112582782</c:v>
                </c:pt>
                <c:pt idx="2">
                  <c:v>5.7142857142857144</c:v>
                </c:pt>
                <c:pt idx="3">
                  <c:v>2.7659574468085109</c:v>
                </c:pt>
              </c:numCache>
            </c:numRef>
          </c:yVal>
          <c:bubbleSize>
            <c:numRef>
              <c:f>№5!$E$2:$E$6</c:f>
              <c:numCache>
                <c:formatCode>General</c:formatCode>
                <c:ptCount val="4"/>
                <c:pt idx="0">
                  <c:v>1775</c:v>
                </c:pt>
                <c:pt idx="1">
                  <c:v>584</c:v>
                </c:pt>
                <c:pt idx="2">
                  <c:v>1403</c:v>
                </c:pt>
                <c:pt idx="3">
                  <c:v>1275</c:v>
                </c:pt>
              </c:numCache>
            </c:numRef>
          </c:bubbleSize>
          <c:bubble3D val="0"/>
          <c:extLst>
            <c:ext xmlns:c16="http://schemas.microsoft.com/office/drawing/2014/chart" uri="{C3380CC4-5D6E-409C-BE32-E72D297353CC}">
              <c16:uniqueId val="{00000002-E2AA-4E93-99DE-7EEBD687489A}"/>
            </c:ext>
          </c:extLst>
        </c:ser>
        <c:ser>
          <c:idx val="11"/>
          <c:order val="3"/>
          <c:tx>
            <c:strRef>
              <c:f>№5!$AC$1</c:f>
              <c:strCache>
                <c:ptCount val="1"/>
                <c:pt idx="0">
                  <c:v>Хвингия (Родина)</c:v>
                </c:pt>
              </c:strCache>
            </c:strRef>
          </c:tx>
          <c:spPr>
            <a:solidFill>
              <a:srgbClr val="9900FF">
                <a:alpha val="50000"/>
              </a:srgbClr>
            </a:solidFill>
            <a:ln w="25400">
              <a:noFill/>
            </a:ln>
            <a:effectLst/>
          </c:spPr>
          <c:invertIfNegative val="0"/>
          <c:xVal>
            <c:numRef>
              <c:f>№5!$J$2:$J$6</c:f>
              <c:numCache>
                <c:formatCode>0.0</c:formatCode>
                <c:ptCount val="4"/>
                <c:pt idx="0">
                  <c:v>29.859154929577464</c:v>
                </c:pt>
                <c:pt idx="1">
                  <c:v>25.856164383561644</c:v>
                </c:pt>
                <c:pt idx="2">
                  <c:v>14.96792587312901</c:v>
                </c:pt>
                <c:pt idx="3">
                  <c:v>36.941176470588232</c:v>
                </c:pt>
              </c:numCache>
            </c:numRef>
          </c:xVal>
          <c:yVal>
            <c:numRef>
              <c:f>№5!$AC$2:$AC$6</c:f>
              <c:numCache>
                <c:formatCode>0.0</c:formatCode>
                <c:ptCount val="4"/>
                <c:pt idx="0">
                  <c:v>0.75471698113207553</c:v>
                </c:pt>
                <c:pt idx="1">
                  <c:v>0.66225165562913912</c:v>
                </c:pt>
                <c:pt idx="2">
                  <c:v>2.8571428571428572</c:v>
                </c:pt>
                <c:pt idx="3">
                  <c:v>0.85106382978723405</c:v>
                </c:pt>
              </c:numCache>
            </c:numRef>
          </c:yVal>
          <c:bubbleSize>
            <c:numRef>
              <c:f>№5!$E$2:$E$6</c:f>
              <c:numCache>
                <c:formatCode>General</c:formatCode>
                <c:ptCount val="4"/>
                <c:pt idx="0">
                  <c:v>1775</c:v>
                </c:pt>
                <c:pt idx="1">
                  <c:v>584</c:v>
                </c:pt>
                <c:pt idx="2">
                  <c:v>1403</c:v>
                </c:pt>
                <c:pt idx="3">
                  <c:v>1275</c:v>
                </c:pt>
              </c:numCache>
            </c:numRef>
          </c:bubbleSize>
          <c:bubble3D val="0"/>
          <c:extLst>
            <c:ext xmlns:c16="http://schemas.microsoft.com/office/drawing/2014/chart" uri="{C3380CC4-5D6E-409C-BE32-E72D297353CC}">
              <c16:uniqueId val="{00000003-E2AA-4E93-99DE-7EEBD687489A}"/>
            </c:ext>
          </c:extLst>
        </c:ser>
        <c:ser>
          <c:idx val="2"/>
          <c:order val="4"/>
          <c:tx>
            <c:strRef>
              <c:f>№5!$AE$1</c:f>
              <c:strCache>
                <c:ptCount val="1"/>
                <c:pt idx="0">
                  <c:v>Шалакова</c:v>
                </c:pt>
              </c:strCache>
            </c:strRef>
          </c:tx>
          <c:spPr>
            <a:solidFill>
              <a:srgbClr val="000000">
                <a:alpha val="50000"/>
              </a:srgbClr>
            </a:solidFill>
            <a:ln w="25400">
              <a:noFill/>
            </a:ln>
          </c:spPr>
          <c:invertIfNegative val="0"/>
          <c:xVal>
            <c:numRef>
              <c:f>№5!$J$2:$J$6</c:f>
              <c:numCache>
                <c:formatCode>0.0</c:formatCode>
                <c:ptCount val="4"/>
                <c:pt idx="0">
                  <c:v>29.859154929577464</c:v>
                </c:pt>
                <c:pt idx="1">
                  <c:v>25.856164383561644</c:v>
                </c:pt>
                <c:pt idx="2">
                  <c:v>14.96792587312901</c:v>
                </c:pt>
                <c:pt idx="3">
                  <c:v>36.941176470588232</c:v>
                </c:pt>
              </c:numCache>
            </c:numRef>
          </c:xVal>
          <c:yVal>
            <c:numRef>
              <c:f>№5!$AE$2:$AE$6</c:f>
              <c:numCache>
                <c:formatCode>0.0</c:formatCode>
                <c:ptCount val="4"/>
                <c:pt idx="0">
                  <c:v>3.0188679245283021</c:v>
                </c:pt>
                <c:pt idx="1">
                  <c:v>3.3112582781456954</c:v>
                </c:pt>
                <c:pt idx="2">
                  <c:v>2.8571428571428572</c:v>
                </c:pt>
                <c:pt idx="3">
                  <c:v>0.85106382978723405</c:v>
                </c:pt>
              </c:numCache>
            </c:numRef>
          </c:yVal>
          <c:bubbleSize>
            <c:numRef>
              <c:f>№5!$E$2:$E$6</c:f>
              <c:numCache>
                <c:formatCode>General</c:formatCode>
                <c:ptCount val="4"/>
                <c:pt idx="0">
                  <c:v>1775</c:v>
                </c:pt>
                <c:pt idx="1">
                  <c:v>584</c:v>
                </c:pt>
                <c:pt idx="2">
                  <c:v>1403</c:v>
                </c:pt>
                <c:pt idx="3">
                  <c:v>1275</c:v>
                </c:pt>
              </c:numCache>
            </c:numRef>
          </c:bubbleSize>
          <c:bubble3D val="0"/>
          <c:extLst>
            <c:ext xmlns:c16="http://schemas.microsoft.com/office/drawing/2014/chart" uri="{C3380CC4-5D6E-409C-BE32-E72D297353CC}">
              <c16:uniqueId val="{00000004-E2AA-4E93-99DE-7EEBD687489A}"/>
            </c:ext>
          </c:extLst>
        </c:ser>
        <c:ser>
          <c:idx val="3"/>
          <c:order val="5"/>
          <c:tx>
            <c:strRef>
              <c:f>№5!$AG$1</c:f>
              <c:strCache>
                <c:ptCount val="1"/>
                <c:pt idx="0">
                  <c:v>Щемелева (СР)</c:v>
                </c:pt>
              </c:strCache>
            </c:strRef>
          </c:tx>
          <c:spPr>
            <a:solidFill>
              <a:srgbClr val="6666FF">
                <a:alpha val="50000"/>
              </a:srgbClr>
            </a:solidFill>
            <a:ln w="25400">
              <a:noFill/>
            </a:ln>
          </c:spPr>
          <c:invertIfNegative val="0"/>
          <c:xVal>
            <c:numRef>
              <c:f>№5!$J$2:$J$6</c:f>
              <c:numCache>
                <c:formatCode>0.0</c:formatCode>
                <c:ptCount val="4"/>
                <c:pt idx="0">
                  <c:v>29.859154929577464</c:v>
                </c:pt>
                <c:pt idx="1">
                  <c:v>25.856164383561644</c:v>
                </c:pt>
                <c:pt idx="2">
                  <c:v>14.96792587312901</c:v>
                </c:pt>
                <c:pt idx="3">
                  <c:v>36.941176470588232</c:v>
                </c:pt>
              </c:numCache>
            </c:numRef>
          </c:xVal>
          <c:yVal>
            <c:numRef>
              <c:f>№5!$AG$2:$AG$6</c:f>
              <c:numCache>
                <c:formatCode>0.0</c:formatCode>
                <c:ptCount val="4"/>
                <c:pt idx="0">
                  <c:v>3.7735849056603774</c:v>
                </c:pt>
                <c:pt idx="1">
                  <c:v>6.6225165562913908</c:v>
                </c:pt>
                <c:pt idx="2">
                  <c:v>8.0952380952380949</c:v>
                </c:pt>
                <c:pt idx="3">
                  <c:v>1.7021276595744681</c:v>
                </c:pt>
              </c:numCache>
            </c:numRef>
          </c:yVal>
          <c:bubbleSize>
            <c:numRef>
              <c:f>№5!$E$2:$E$6</c:f>
              <c:numCache>
                <c:formatCode>General</c:formatCode>
                <c:ptCount val="4"/>
                <c:pt idx="0">
                  <c:v>1775</c:v>
                </c:pt>
                <c:pt idx="1">
                  <c:v>584</c:v>
                </c:pt>
                <c:pt idx="2">
                  <c:v>1403</c:v>
                </c:pt>
                <c:pt idx="3">
                  <c:v>1275</c:v>
                </c:pt>
              </c:numCache>
            </c:numRef>
          </c:bubbleSize>
          <c:bubble3D val="0"/>
          <c:extLst>
            <c:ext xmlns:c16="http://schemas.microsoft.com/office/drawing/2014/chart" uri="{C3380CC4-5D6E-409C-BE32-E72D297353CC}">
              <c16:uniqueId val="{00000005-E2AA-4E93-99DE-7EEBD687489A}"/>
            </c:ext>
          </c:extLst>
        </c:ser>
        <c:ser>
          <c:idx val="0"/>
          <c:order val="6"/>
          <c:tx>
            <c:strRef>
              <c:f>№5!$R$1</c:f>
              <c:strCache>
                <c:ptCount val="1"/>
                <c:pt idx="0">
                  <c:v>Недействительных</c:v>
                </c:pt>
              </c:strCache>
            </c:strRef>
          </c:tx>
          <c:spPr>
            <a:noFill/>
            <a:ln w="6350">
              <a:solidFill>
                <a:srgbClr val="000000"/>
              </a:solidFill>
            </a:ln>
          </c:spPr>
          <c:invertIfNegative val="0"/>
          <c:xVal>
            <c:numRef>
              <c:f>№5!$J$2:$J$6</c:f>
              <c:numCache>
                <c:formatCode>0.0</c:formatCode>
                <c:ptCount val="4"/>
                <c:pt idx="0">
                  <c:v>29.859154929577464</c:v>
                </c:pt>
                <c:pt idx="1">
                  <c:v>25.856164383561644</c:v>
                </c:pt>
                <c:pt idx="2">
                  <c:v>14.96792587312901</c:v>
                </c:pt>
                <c:pt idx="3">
                  <c:v>36.941176470588232</c:v>
                </c:pt>
              </c:numCache>
            </c:numRef>
          </c:xVal>
          <c:yVal>
            <c:numRef>
              <c:f>№5!$R$2:$R$6</c:f>
              <c:numCache>
                <c:formatCode>0.0</c:formatCode>
                <c:ptCount val="4"/>
                <c:pt idx="0">
                  <c:v>2.641509433962264</c:v>
                </c:pt>
                <c:pt idx="1">
                  <c:v>3.3112582781456954</c:v>
                </c:pt>
                <c:pt idx="2">
                  <c:v>4.2857142857142856</c:v>
                </c:pt>
                <c:pt idx="3">
                  <c:v>2.7659574468085109</c:v>
                </c:pt>
              </c:numCache>
            </c:numRef>
          </c:yVal>
          <c:bubbleSize>
            <c:numRef>
              <c:f>№5!$E$2:$E$6</c:f>
              <c:numCache>
                <c:formatCode>General</c:formatCode>
                <c:ptCount val="4"/>
                <c:pt idx="0">
                  <c:v>1775</c:v>
                </c:pt>
                <c:pt idx="1">
                  <c:v>584</c:v>
                </c:pt>
                <c:pt idx="2">
                  <c:v>1403</c:v>
                </c:pt>
                <c:pt idx="3">
                  <c:v>1275</c:v>
                </c:pt>
              </c:numCache>
            </c:numRef>
          </c:bubbleSize>
          <c:bubble3D val="0"/>
          <c:extLst>
            <c:ext xmlns:c16="http://schemas.microsoft.com/office/drawing/2014/chart" uri="{C3380CC4-5D6E-409C-BE32-E72D297353CC}">
              <c16:uniqueId val="{00000008-E2AA-4E93-99DE-7EEBD687489A}"/>
            </c:ext>
          </c:extLst>
        </c:ser>
        <c:ser>
          <c:idx val="1"/>
          <c:order val="7"/>
          <c:tx>
            <c:strRef>
              <c:f>№5!$P$1</c:f>
              <c:strCache>
                <c:ptCount val="1"/>
                <c:pt idx="0">
                  <c:v>Надомка</c:v>
                </c:pt>
              </c:strCache>
            </c:strRef>
          </c:tx>
          <c:spPr>
            <a:noFill/>
            <a:ln w="6350">
              <a:solidFill>
                <a:srgbClr val="000000"/>
              </a:solidFill>
              <a:prstDash val="sysDot"/>
            </a:ln>
          </c:spPr>
          <c:invertIfNegative val="0"/>
          <c:xVal>
            <c:numRef>
              <c:f>№5!$J$2:$J$6</c:f>
              <c:numCache>
                <c:formatCode>0.0</c:formatCode>
                <c:ptCount val="4"/>
                <c:pt idx="0">
                  <c:v>29.859154929577464</c:v>
                </c:pt>
                <c:pt idx="1">
                  <c:v>25.856164383561644</c:v>
                </c:pt>
                <c:pt idx="2">
                  <c:v>14.96792587312901</c:v>
                </c:pt>
                <c:pt idx="3">
                  <c:v>36.941176470588232</c:v>
                </c:pt>
              </c:numCache>
            </c:numRef>
          </c:xVal>
          <c:yVal>
            <c:numRef>
              <c:f>№5!$P$2:$P$6</c:f>
              <c:numCache>
                <c:formatCode>0.0</c:formatCode>
                <c:ptCount val="4"/>
                <c:pt idx="0">
                  <c:v>4.9056603773584904</c:v>
                </c:pt>
                <c:pt idx="1">
                  <c:v>33.774834437086092</c:v>
                </c:pt>
                <c:pt idx="2">
                  <c:v>6.1904761904761907</c:v>
                </c:pt>
                <c:pt idx="3">
                  <c:v>17.23404255319149</c:v>
                </c:pt>
              </c:numCache>
            </c:numRef>
          </c:yVal>
          <c:bubbleSize>
            <c:numRef>
              <c:f>№5!$E$2:$E$6</c:f>
              <c:numCache>
                <c:formatCode>General</c:formatCode>
                <c:ptCount val="4"/>
                <c:pt idx="0">
                  <c:v>1775</c:v>
                </c:pt>
                <c:pt idx="1">
                  <c:v>584</c:v>
                </c:pt>
                <c:pt idx="2">
                  <c:v>1403</c:v>
                </c:pt>
                <c:pt idx="3">
                  <c:v>1275</c:v>
                </c:pt>
              </c:numCache>
            </c:numRef>
          </c:bubbleSize>
          <c:bubble3D val="0"/>
          <c:extLst>
            <c:ext xmlns:c16="http://schemas.microsoft.com/office/drawing/2014/chart" uri="{C3380CC4-5D6E-409C-BE32-E72D297353CC}">
              <c16:uniqueId val="{00000009-E2AA-4E93-99DE-7EEBD687489A}"/>
            </c:ext>
          </c:extLst>
        </c:ser>
        <c:ser>
          <c:idx val="17"/>
          <c:order val="8"/>
          <c:tx>
            <c:strRef>
              <c:f>№5!$V$43</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№5!$V$44</c:f>
              <c:numCache>
                <c:formatCode>General</c:formatCode>
                <c:ptCount val="1"/>
                <c:pt idx="0">
                  <c:v>5646</c:v>
                </c:pt>
              </c:numCache>
            </c:numRef>
          </c:bubbleSize>
          <c:bubble3D val="0"/>
          <c:extLst>
            <c:ext xmlns:c16="http://schemas.microsoft.com/office/drawing/2014/chart" uri="{C3380CC4-5D6E-409C-BE32-E72D297353CC}">
              <c16:uniqueId val="{0000000A-E2AA-4E93-99DE-7EEBD687489A}"/>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454633898072059"/>
          <c:y val="0.1025620694536567"/>
          <c:w val="0.16224020216582116"/>
          <c:h val="0.28445341883021608"/>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№6!$W$1</c:f>
              <c:strCache>
                <c:ptCount val="1"/>
                <c:pt idx="0">
                  <c:v>Байдаков (пенсионеров)</c:v>
                </c:pt>
              </c:strCache>
            </c:strRef>
          </c:tx>
          <c:spPr>
            <a:solidFill>
              <a:srgbClr val="C89600">
                <a:alpha val="50000"/>
              </a:srgbClr>
            </a:solidFill>
            <a:ln w="25400">
              <a:noFill/>
            </a:ln>
          </c:spPr>
          <c:invertIfNegative val="0"/>
          <c:xVal>
            <c:numRef>
              <c:f>№6!$J$2:$J$5</c:f>
              <c:numCache>
                <c:formatCode>0.0</c:formatCode>
                <c:ptCount val="3"/>
                <c:pt idx="0">
                  <c:v>14.50242718446602</c:v>
                </c:pt>
                <c:pt idx="1">
                  <c:v>10.842158345940494</c:v>
                </c:pt>
                <c:pt idx="2">
                  <c:v>18.191662154845694</c:v>
                </c:pt>
              </c:numCache>
            </c:numRef>
          </c:xVal>
          <c:yVal>
            <c:numRef>
              <c:f>№6!$W$2:$W$5</c:f>
              <c:numCache>
                <c:formatCode>0.0</c:formatCode>
                <c:ptCount val="3"/>
                <c:pt idx="0">
                  <c:v>12.133891213389122</c:v>
                </c:pt>
                <c:pt idx="1">
                  <c:v>7.441860465116279</c:v>
                </c:pt>
                <c:pt idx="2">
                  <c:v>7.4404761904761907</c:v>
                </c:pt>
              </c:numCache>
            </c:numRef>
          </c:yVal>
          <c:bubbleSize>
            <c:numRef>
              <c:f>№6!$E$2:$E$5</c:f>
              <c:numCache>
                <c:formatCode>General</c:formatCode>
                <c:ptCount val="3"/>
                <c:pt idx="0">
                  <c:v>1648</c:v>
                </c:pt>
                <c:pt idx="1">
                  <c:v>1983</c:v>
                </c:pt>
                <c:pt idx="2">
                  <c:v>1847</c:v>
                </c:pt>
              </c:numCache>
            </c:numRef>
          </c:bubbleSize>
          <c:bubble3D val="0"/>
          <c:extLst>
            <c:ext xmlns:c16="http://schemas.microsoft.com/office/drawing/2014/chart" uri="{C3380CC4-5D6E-409C-BE32-E72D297353CC}">
              <c16:uniqueId val="{00000000-B355-4163-88C4-C5FC4EE08947}"/>
            </c:ext>
          </c:extLst>
        </c:ser>
        <c:ser>
          <c:idx val="9"/>
          <c:order val="1"/>
          <c:tx>
            <c:strRef>
              <c:f>№6!$Y$1</c:f>
              <c:strCache>
                <c:ptCount val="1"/>
                <c:pt idx="0">
                  <c:v>Вишнякова (ЕР)</c:v>
                </c:pt>
              </c:strCache>
            </c:strRef>
          </c:tx>
          <c:spPr>
            <a:solidFill>
              <a:srgbClr val="0000FF">
                <a:alpha val="50000"/>
              </a:srgbClr>
            </a:solidFill>
            <a:ln w="25400"/>
          </c:spPr>
          <c:invertIfNegative val="0"/>
          <c:xVal>
            <c:numRef>
              <c:f>№6!$J$2:$J$5</c:f>
              <c:numCache>
                <c:formatCode>0.0</c:formatCode>
                <c:ptCount val="3"/>
                <c:pt idx="0">
                  <c:v>14.50242718446602</c:v>
                </c:pt>
                <c:pt idx="1">
                  <c:v>10.842158345940494</c:v>
                </c:pt>
                <c:pt idx="2">
                  <c:v>18.191662154845694</c:v>
                </c:pt>
              </c:numCache>
            </c:numRef>
          </c:xVal>
          <c:yVal>
            <c:numRef>
              <c:f>№6!$Y$2:$Y$5</c:f>
              <c:numCache>
                <c:formatCode>0.0</c:formatCode>
                <c:ptCount val="3"/>
                <c:pt idx="0">
                  <c:v>58.15899581589958</c:v>
                </c:pt>
                <c:pt idx="1">
                  <c:v>59.069767441860463</c:v>
                </c:pt>
                <c:pt idx="2">
                  <c:v>57.142857142857146</c:v>
                </c:pt>
              </c:numCache>
            </c:numRef>
          </c:yVal>
          <c:bubbleSize>
            <c:numRef>
              <c:f>№6!$E$2:$E$5</c:f>
              <c:numCache>
                <c:formatCode>General</c:formatCode>
                <c:ptCount val="3"/>
                <c:pt idx="0">
                  <c:v>1648</c:v>
                </c:pt>
                <c:pt idx="1">
                  <c:v>1983</c:v>
                </c:pt>
                <c:pt idx="2">
                  <c:v>1847</c:v>
                </c:pt>
              </c:numCache>
            </c:numRef>
          </c:bubbleSize>
          <c:bubble3D val="0"/>
          <c:extLst>
            <c:ext xmlns:c16="http://schemas.microsoft.com/office/drawing/2014/chart" uri="{C3380CC4-5D6E-409C-BE32-E72D297353CC}">
              <c16:uniqueId val="{00000001-B355-4163-88C4-C5FC4EE08947}"/>
            </c:ext>
          </c:extLst>
        </c:ser>
        <c:ser>
          <c:idx val="10"/>
          <c:order val="2"/>
          <c:tx>
            <c:strRef>
              <c:f>№6!$AA$1</c:f>
              <c:strCache>
                <c:ptCount val="1"/>
                <c:pt idx="0">
                  <c:v>Максимов (СР)</c:v>
                </c:pt>
              </c:strCache>
            </c:strRef>
          </c:tx>
          <c:spPr>
            <a:solidFill>
              <a:srgbClr val="6666FF">
                <a:alpha val="50000"/>
              </a:srgbClr>
            </a:solidFill>
            <a:ln w="25400">
              <a:noFill/>
            </a:ln>
            <a:effectLst/>
          </c:spPr>
          <c:invertIfNegative val="0"/>
          <c:xVal>
            <c:numRef>
              <c:f>№6!$J$2:$J$5</c:f>
              <c:numCache>
                <c:formatCode>0.0</c:formatCode>
                <c:ptCount val="3"/>
                <c:pt idx="0">
                  <c:v>14.50242718446602</c:v>
                </c:pt>
                <c:pt idx="1">
                  <c:v>10.842158345940494</c:v>
                </c:pt>
                <c:pt idx="2">
                  <c:v>18.191662154845694</c:v>
                </c:pt>
              </c:numCache>
            </c:numRef>
          </c:xVal>
          <c:yVal>
            <c:numRef>
              <c:f>№6!$AA$2:$AA$5</c:f>
              <c:numCache>
                <c:formatCode>0.0</c:formatCode>
                <c:ptCount val="3"/>
                <c:pt idx="0">
                  <c:v>21.757322175732217</c:v>
                </c:pt>
                <c:pt idx="1">
                  <c:v>26.046511627906977</c:v>
                </c:pt>
                <c:pt idx="2">
                  <c:v>25</c:v>
                </c:pt>
              </c:numCache>
            </c:numRef>
          </c:yVal>
          <c:bubbleSize>
            <c:numRef>
              <c:f>№6!$E$2:$E$5</c:f>
              <c:numCache>
                <c:formatCode>General</c:formatCode>
                <c:ptCount val="3"/>
                <c:pt idx="0">
                  <c:v>1648</c:v>
                </c:pt>
                <c:pt idx="1">
                  <c:v>1983</c:v>
                </c:pt>
                <c:pt idx="2">
                  <c:v>1847</c:v>
                </c:pt>
              </c:numCache>
            </c:numRef>
          </c:bubbleSize>
          <c:bubble3D val="0"/>
          <c:extLst>
            <c:ext xmlns:c16="http://schemas.microsoft.com/office/drawing/2014/chart" uri="{C3380CC4-5D6E-409C-BE32-E72D297353CC}">
              <c16:uniqueId val="{00000002-B355-4163-88C4-C5FC4EE08947}"/>
            </c:ext>
          </c:extLst>
        </c:ser>
        <c:ser>
          <c:idx val="11"/>
          <c:order val="3"/>
          <c:tx>
            <c:strRef>
              <c:f>№6!$AC$1</c:f>
              <c:strCache>
                <c:ptCount val="1"/>
                <c:pt idx="0">
                  <c:v>Нарватов</c:v>
                </c:pt>
              </c:strCache>
            </c:strRef>
          </c:tx>
          <c:spPr>
            <a:solidFill>
              <a:srgbClr val="000000">
                <a:alpha val="50000"/>
              </a:srgbClr>
            </a:solidFill>
            <a:ln w="25400">
              <a:noFill/>
            </a:ln>
            <a:effectLst/>
          </c:spPr>
          <c:invertIfNegative val="0"/>
          <c:xVal>
            <c:numRef>
              <c:f>№6!$J$2:$J$5</c:f>
              <c:numCache>
                <c:formatCode>0.0</c:formatCode>
                <c:ptCount val="3"/>
                <c:pt idx="0">
                  <c:v>14.50242718446602</c:v>
                </c:pt>
                <c:pt idx="1">
                  <c:v>10.842158345940494</c:v>
                </c:pt>
                <c:pt idx="2">
                  <c:v>18.191662154845694</c:v>
                </c:pt>
              </c:numCache>
            </c:numRef>
          </c:xVal>
          <c:yVal>
            <c:numRef>
              <c:f>№6!$AC$2:$AC$5</c:f>
              <c:numCache>
                <c:formatCode>0.0</c:formatCode>
                <c:ptCount val="3"/>
                <c:pt idx="0">
                  <c:v>1.6736401673640167</c:v>
                </c:pt>
                <c:pt idx="1">
                  <c:v>1.8604651162790697</c:v>
                </c:pt>
                <c:pt idx="2">
                  <c:v>1.1904761904761905</c:v>
                </c:pt>
              </c:numCache>
            </c:numRef>
          </c:yVal>
          <c:bubbleSize>
            <c:numRef>
              <c:f>№6!$E$2:$E$5</c:f>
              <c:numCache>
                <c:formatCode>General</c:formatCode>
                <c:ptCount val="3"/>
                <c:pt idx="0">
                  <c:v>1648</c:v>
                </c:pt>
                <c:pt idx="1">
                  <c:v>1983</c:v>
                </c:pt>
                <c:pt idx="2">
                  <c:v>1847</c:v>
                </c:pt>
              </c:numCache>
            </c:numRef>
          </c:bubbleSize>
          <c:bubble3D val="0"/>
          <c:extLst>
            <c:ext xmlns:c16="http://schemas.microsoft.com/office/drawing/2014/chart" uri="{C3380CC4-5D6E-409C-BE32-E72D297353CC}">
              <c16:uniqueId val="{00000003-B355-4163-88C4-C5FC4EE08947}"/>
            </c:ext>
          </c:extLst>
        </c:ser>
        <c:ser>
          <c:idx val="2"/>
          <c:order val="4"/>
          <c:tx>
            <c:strRef>
              <c:f>№6!$AE$1</c:f>
              <c:strCache>
                <c:ptCount val="1"/>
                <c:pt idx="0">
                  <c:v>Таранова (ЛДПР)</c:v>
                </c:pt>
              </c:strCache>
            </c:strRef>
          </c:tx>
          <c:spPr>
            <a:solidFill>
              <a:srgbClr val="FF9900">
                <a:alpha val="50000"/>
              </a:srgbClr>
            </a:solidFill>
            <a:ln w="25400">
              <a:noFill/>
            </a:ln>
          </c:spPr>
          <c:invertIfNegative val="0"/>
          <c:xVal>
            <c:numRef>
              <c:f>№6!$J$2:$J$5</c:f>
              <c:numCache>
                <c:formatCode>0.0</c:formatCode>
                <c:ptCount val="3"/>
                <c:pt idx="0">
                  <c:v>14.50242718446602</c:v>
                </c:pt>
                <c:pt idx="1">
                  <c:v>10.842158345940494</c:v>
                </c:pt>
                <c:pt idx="2">
                  <c:v>18.191662154845694</c:v>
                </c:pt>
              </c:numCache>
            </c:numRef>
          </c:xVal>
          <c:yVal>
            <c:numRef>
              <c:f>№6!$AE$2:$AE$5</c:f>
              <c:numCache>
                <c:formatCode>0.0</c:formatCode>
                <c:ptCount val="3"/>
                <c:pt idx="0">
                  <c:v>2.510460251046025</c:v>
                </c:pt>
                <c:pt idx="1">
                  <c:v>3.2558139534883721</c:v>
                </c:pt>
                <c:pt idx="2">
                  <c:v>4.7619047619047619</c:v>
                </c:pt>
              </c:numCache>
            </c:numRef>
          </c:yVal>
          <c:bubbleSize>
            <c:numRef>
              <c:f>№6!$E$2:$E$5</c:f>
              <c:numCache>
                <c:formatCode>General</c:formatCode>
                <c:ptCount val="3"/>
                <c:pt idx="0">
                  <c:v>1648</c:v>
                </c:pt>
                <c:pt idx="1">
                  <c:v>1983</c:v>
                </c:pt>
                <c:pt idx="2">
                  <c:v>1847</c:v>
                </c:pt>
              </c:numCache>
            </c:numRef>
          </c:bubbleSize>
          <c:bubble3D val="0"/>
          <c:extLst>
            <c:ext xmlns:c16="http://schemas.microsoft.com/office/drawing/2014/chart" uri="{C3380CC4-5D6E-409C-BE32-E72D297353CC}">
              <c16:uniqueId val="{00000004-B355-4163-88C4-C5FC4EE08947}"/>
            </c:ext>
          </c:extLst>
        </c:ser>
        <c:ser>
          <c:idx val="0"/>
          <c:order val="5"/>
          <c:tx>
            <c:strRef>
              <c:f>№6!$R$1</c:f>
              <c:strCache>
                <c:ptCount val="1"/>
                <c:pt idx="0">
                  <c:v>Недействительных</c:v>
                </c:pt>
              </c:strCache>
            </c:strRef>
          </c:tx>
          <c:spPr>
            <a:noFill/>
            <a:ln w="6350">
              <a:solidFill>
                <a:srgbClr val="000000"/>
              </a:solidFill>
            </a:ln>
          </c:spPr>
          <c:invertIfNegative val="0"/>
          <c:xVal>
            <c:numRef>
              <c:f>№6!$J$2:$J$5</c:f>
              <c:numCache>
                <c:formatCode>0.0</c:formatCode>
                <c:ptCount val="3"/>
                <c:pt idx="0">
                  <c:v>14.50242718446602</c:v>
                </c:pt>
                <c:pt idx="1">
                  <c:v>10.842158345940494</c:v>
                </c:pt>
                <c:pt idx="2">
                  <c:v>18.191662154845694</c:v>
                </c:pt>
              </c:numCache>
            </c:numRef>
          </c:xVal>
          <c:yVal>
            <c:numRef>
              <c:f>№6!$R$2:$R$5</c:f>
              <c:numCache>
                <c:formatCode>0.0</c:formatCode>
                <c:ptCount val="3"/>
                <c:pt idx="0">
                  <c:v>3.7656903765690375</c:v>
                </c:pt>
                <c:pt idx="1">
                  <c:v>2.3255813953488373</c:v>
                </c:pt>
                <c:pt idx="2">
                  <c:v>4.4642857142857144</c:v>
                </c:pt>
              </c:numCache>
            </c:numRef>
          </c:yVal>
          <c:bubbleSize>
            <c:numRef>
              <c:f>№6!$E$2:$E$5</c:f>
              <c:numCache>
                <c:formatCode>General</c:formatCode>
                <c:ptCount val="3"/>
                <c:pt idx="0">
                  <c:v>1648</c:v>
                </c:pt>
                <c:pt idx="1">
                  <c:v>1983</c:v>
                </c:pt>
                <c:pt idx="2">
                  <c:v>1847</c:v>
                </c:pt>
              </c:numCache>
            </c:numRef>
          </c:bubbleSize>
          <c:bubble3D val="0"/>
          <c:extLst>
            <c:ext xmlns:c16="http://schemas.microsoft.com/office/drawing/2014/chart" uri="{C3380CC4-5D6E-409C-BE32-E72D297353CC}">
              <c16:uniqueId val="{00000008-B355-4163-88C4-C5FC4EE08947}"/>
            </c:ext>
          </c:extLst>
        </c:ser>
        <c:ser>
          <c:idx val="1"/>
          <c:order val="6"/>
          <c:tx>
            <c:strRef>
              <c:f>№6!$P$1</c:f>
              <c:strCache>
                <c:ptCount val="1"/>
                <c:pt idx="0">
                  <c:v>Надомка</c:v>
                </c:pt>
              </c:strCache>
            </c:strRef>
          </c:tx>
          <c:spPr>
            <a:noFill/>
            <a:ln w="6350">
              <a:solidFill>
                <a:srgbClr val="000000"/>
              </a:solidFill>
              <a:prstDash val="sysDot"/>
            </a:ln>
          </c:spPr>
          <c:invertIfNegative val="0"/>
          <c:xVal>
            <c:numRef>
              <c:f>№6!$J$2:$J$5</c:f>
              <c:numCache>
                <c:formatCode>0.0</c:formatCode>
                <c:ptCount val="3"/>
                <c:pt idx="0">
                  <c:v>14.50242718446602</c:v>
                </c:pt>
                <c:pt idx="1">
                  <c:v>10.842158345940494</c:v>
                </c:pt>
                <c:pt idx="2">
                  <c:v>18.191662154845694</c:v>
                </c:pt>
              </c:numCache>
            </c:numRef>
          </c:xVal>
          <c:yVal>
            <c:numRef>
              <c:f>№6!$P$2:$P$5</c:f>
              <c:numCache>
                <c:formatCode>0.0</c:formatCode>
                <c:ptCount val="3"/>
                <c:pt idx="0">
                  <c:v>4.6025104602510458</c:v>
                </c:pt>
                <c:pt idx="1">
                  <c:v>1.3953488372093024</c:v>
                </c:pt>
                <c:pt idx="2">
                  <c:v>2.3809523809523809</c:v>
                </c:pt>
              </c:numCache>
            </c:numRef>
          </c:yVal>
          <c:bubbleSize>
            <c:numRef>
              <c:f>№6!$E$2:$E$5</c:f>
              <c:numCache>
                <c:formatCode>General</c:formatCode>
                <c:ptCount val="3"/>
                <c:pt idx="0">
                  <c:v>1648</c:v>
                </c:pt>
                <c:pt idx="1">
                  <c:v>1983</c:v>
                </c:pt>
                <c:pt idx="2">
                  <c:v>1847</c:v>
                </c:pt>
              </c:numCache>
            </c:numRef>
          </c:bubbleSize>
          <c:bubble3D val="0"/>
          <c:extLst>
            <c:ext xmlns:c16="http://schemas.microsoft.com/office/drawing/2014/chart" uri="{C3380CC4-5D6E-409C-BE32-E72D297353CC}">
              <c16:uniqueId val="{00000009-B355-4163-88C4-C5FC4EE08947}"/>
            </c:ext>
          </c:extLst>
        </c:ser>
        <c:ser>
          <c:idx val="17"/>
          <c:order val="7"/>
          <c:tx>
            <c:strRef>
              <c:f>№6!$V$42</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№6!$V$43</c:f>
              <c:numCache>
                <c:formatCode>General</c:formatCode>
                <c:ptCount val="1"/>
                <c:pt idx="0">
                  <c:v>5646</c:v>
                </c:pt>
              </c:numCache>
            </c:numRef>
          </c:bubbleSize>
          <c:bubble3D val="0"/>
          <c:extLst>
            <c:ext xmlns:c16="http://schemas.microsoft.com/office/drawing/2014/chart" uri="{C3380CC4-5D6E-409C-BE32-E72D297353CC}">
              <c16:uniqueId val="{0000000A-B355-4163-88C4-C5FC4EE08947}"/>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326993808551117"/>
          <c:y val="0.1025620694536567"/>
          <c:w val="0.16224020216582116"/>
          <c:h val="0.25489012770847103"/>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30233500629379E-2"/>
          <c:y val="2.9282931336713936E-2"/>
          <c:w val="0.95261901191169107"/>
          <c:h val="0.92797105263157886"/>
        </c:manualLayout>
      </c:layout>
      <c:bubbleChart>
        <c:varyColors val="0"/>
        <c:ser>
          <c:idx val="8"/>
          <c:order val="0"/>
          <c:tx>
            <c:strRef>
              <c:f>№7!$W$1</c:f>
              <c:strCache>
                <c:ptCount val="1"/>
                <c:pt idx="0">
                  <c:v>Баранов (ЕР)</c:v>
                </c:pt>
              </c:strCache>
            </c:strRef>
          </c:tx>
          <c:spPr>
            <a:solidFill>
              <a:srgbClr val="0000FF">
                <a:alpha val="50000"/>
              </a:srgbClr>
            </a:solidFill>
            <a:ln w="25400">
              <a:noFill/>
            </a:ln>
          </c:spPr>
          <c:invertIfNegative val="0"/>
          <c:xVal>
            <c:numRef>
              <c:f>№7!$J$2:$J$4</c:f>
              <c:numCache>
                <c:formatCode>0.0</c:formatCode>
                <c:ptCount val="2"/>
                <c:pt idx="0">
                  <c:v>16.218208625138224</c:v>
                </c:pt>
                <c:pt idx="1">
                  <c:v>18.283261802575108</c:v>
                </c:pt>
              </c:numCache>
            </c:numRef>
          </c:xVal>
          <c:yVal>
            <c:numRef>
              <c:f>№7!$W$2:$W$4</c:f>
              <c:numCache>
                <c:formatCode>0.0</c:formatCode>
                <c:ptCount val="2"/>
                <c:pt idx="0">
                  <c:v>55.909090909090907</c:v>
                </c:pt>
                <c:pt idx="1">
                  <c:v>63.529411764705884</c:v>
                </c:pt>
              </c:numCache>
            </c:numRef>
          </c:yVal>
          <c:bubbleSize>
            <c:numRef>
              <c:f>№7!$E$2:$E$4</c:f>
              <c:numCache>
                <c:formatCode>General</c:formatCode>
                <c:ptCount val="2"/>
                <c:pt idx="0">
                  <c:v>2713</c:v>
                </c:pt>
                <c:pt idx="1">
                  <c:v>2330</c:v>
                </c:pt>
              </c:numCache>
            </c:numRef>
          </c:bubbleSize>
          <c:bubble3D val="0"/>
          <c:extLst>
            <c:ext xmlns:c16="http://schemas.microsoft.com/office/drawing/2014/chart" uri="{C3380CC4-5D6E-409C-BE32-E72D297353CC}">
              <c16:uniqueId val="{00000000-688D-4037-AB53-097F0DE442CF}"/>
            </c:ext>
          </c:extLst>
        </c:ser>
        <c:ser>
          <c:idx val="9"/>
          <c:order val="1"/>
          <c:tx>
            <c:strRef>
              <c:f>№7!$Y$1</c:f>
              <c:strCache>
                <c:ptCount val="1"/>
                <c:pt idx="0">
                  <c:v>Буланкин (СР)</c:v>
                </c:pt>
              </c:strCache>
            </c:strRef>
          </c:tx>
          <c:spPr>
            <a:solidFill>
              <a:srgbClr val="6666FF">
                <a:alpha val="50000"/>
              </a:srgbClr>
            </a:solidFill>
            <a:ln w="25400"/>
          </c:spPr>
          <c:invertIfNegative val="0"/>
          <c:xVal>
            <c:numRef>
              <c:f>№7!$J$2:$J$4</c:f>
              <c:numCache>
                <c:formatCode>0.0</c:formatCode>
                <c:ptCount val="2"/>
                <c:pt idx="0">
                  <c:v>16.218208625138224</c:v>
                </c:pt>
                <c:pt idx="1">
                  <c:v>18.283261802575108</c:v>
                </c:pt>
              </c:numCache>
            </c:numRef>
          </c:xVal>
          <c:yVal>
            <c:numRef>
              <c:f>№7!$Y$2:$Y$4</c:f>
              <c:numCache>
                <c:formatCode>0.0</c:formatCode>
                <c:ptCount val="2"/>
                <c:pt idx="0">
                  <c:v>23.181818181818183</c:v>
                </c:pt>
                <c:pt idx="1">
                  <c:v>18.823529411764707</c:v>
                </c:pt>
              </c:numCache>
            </c:numRef>
          </c:yVal>
          <c:bubbleSize>
            <c:numRef>
              <c:f>№7!$E$2:$E$4</c:f>
              <c:numCache>
                <c:formatCode>General</c:formatCode>
                <c:ptCount val="2"/>
                <c:pt idx="0">
                  <c:v>2713</c:v>
                </c:pt>
                <c:pt idx="1">
                  <c:v>2330</c:v>
                </c:pt>
              </c:numCache>
            </c:numRef>
          </c:bubbleSize>
          <c:bubble3D val="0"/>
          <c:extLst>
            <c:ext xmlns:c16="http://schemas.microsoft.com/office/drawing/2014/chart" uri="{C3380CC4-5D6E-409C-BE32-E72D297353CC}">
              <c16:uniqueId val="{00000001-688D-4037-AB53-097F0DE442CF}"/>
            </c:ext>
          </c:extLst>
        </c:ser>
        <c:ser>
          <c:idx val="10"/>
          <c:order val="2"/>
          <c:tx>
            <c:strRef>
              <c:f>№7!$AA$1</c:f>
              <c:strCache>
                <c:ptCount val="1"/>
                <c:pt idx="0">
                  <c:v>Губанова (пенсионеров)</c:v>
                </c:pt>
              </c:strCache>
            </c:strRef>
          </c:tx>
          <c:spPr>
            <a:solidFill>
              <a:srgbClr val="C89600">
                <a:alpha val="50000"/>
              </a:srgbClr>
            </a:solidFill>
            <a:ln w="25400">
              <a:noFill/>
            </a:ln>
            <a:effectLst/>
          </c:spPr>
          <c:invertIfNegative val="0"/>
          <c:xVal>
            <c:numRef>
              <c:f>№7!$J$2:$J$4</c:f>
              <c:numCache>
                <c:formatCode>0.0</c:formatCode>
                <c:ptCount val="2"/>
                <c:pt idx="0">
                  <c:v>16.218208625138224</c:v>
                </c:pt>
                <c:pt idx="1">
                  <c:v>18.283261802575108</c:v>
                </c:pt>
              </c:numCache>
            </c:numRef>
          </c:xVal>
          <c:yVal>
            <c:numRef>
              <c:f>№7!$AA$2:$AA$4</c:f>
              <c:numCache>
                <c:formatCode>0.0</c:formatCode>
                <c:ptCount val="2"/>
                <c:pt idx="0">
                  <c:v>5.2272727272727275</c:v>
                </c:pt>
                <c:pt idx="1">
                  <c:v>3.0588235294117645</c:v>
                </c:pt>
              </c:numCache>
            </c:numRef>
          </c:yVal>
          <c:bubbleSize>
            <c:numRef>
              <c:f>№7!$E$2:$E$4</c:f>
              <c:numCache>
                <c:formatCode>General</c:formatCode>
                <c:ptCount val="2"/>
                <c:pt idx="0">
                  <c:v>2713</c:v>
                </c:pt>
                <c:pt idx="1">
                  <c:v>2330</c:v>
                </c:pt>
              </c:numCache>
            </c:numRef>
          </c:bubbleSize>
          <c:bubble3D val="0"/>
          <c:extLst>
            <c:ext xmlns:c16="http://schemas.microsoft.com/office/drawing/2014/chart" uri="{C3380CC4-5D6E-409C-BE32-E72D297353CC}">
              <c16:uniqueId val="{00000002-688D-4037-AB53-097F0DE442CF}"/>
            </c:ext>
          </c:extLst>
        </c:ser>
        <c:ser>
          <c:idx val="11"/>
          <c:order val="3"/>
          <c:tx>
            <c:strRef>
              <c:f>№7!$AC$1</c:f>
              <c:strCache>
                <c:ptCount val="1"/>
                <c:pt idx="0">
                  <c:v>Нечаева (Новые люди)</c:v>
                </c:pt>
              </c:strCache>
            </c:strRef>
          </c:tx>
          <c:spPr>
            <a:solidFill>
              <a:srgbClr val="00FFFF">
                <a:alpha val="50000"/>
              </a:srgbClr>
            </a:solidFill>
            <a:ln w="25400">
              <a:noFill/>
            </a:ln>
            <a:effectLst/>
          </c:spPr>
          <c:invertIfNegative val="0"/>
          <c:xVal>
            <c:numRef>
              <c:f>№7!$J$2:$J$4</c:f>
              <c:numCache>
                <c:formatCode>0.0</c:formatCode>
                <c:ptCount val="2"/>
                <c:pt idx="0">
                  <c:v>16.218208625138224</c:v>
                </c:pt>
                <c:pt idx="1">
                  <c:v>18.283261802575108</c:v>
                </c:pt>
              </c:numCache>
            </c:numRef>
          </c:xVal>
          <c:yVal>
            <c:numRef>
              <c:f>№7!$AC$2:$AC$4</c:f>
              <c:numCache>
                <c:formatCode>0.0</c:formatCode>
                <c:ptCount val="2"/>
                <c:pt idx="0">
                  <c:v>2.2727272727272729</c:v>
                </c:pt>
                <c:pt idx="1">
                  <c:v>4</c:v>
                </c:pt>
              </c:numCache>
            </c:numRef>
          </c:yVal>
          <c:bubbleSize>
            <c:numRef>
              <c:f>№7!$E$2:$E$4</c:f>
              <c:numCache>
                <c:formatCode>General</c:formatCode>
                <c:ptCount val="2"/>
                <c:pt idx="0">
                  <c:v>2713</c:v>
                </c:pt>
                <c:pt idx="1">
                  <c:v>2330</c:v>
                </c:pt>
              </c:numCache>
            </c:numRef>
          </c:bubbleSize>
          <c:bubble3D val="0"/>
          <c:extLst>
            <c:ext xmlns:c16="http://schemas.microsoft.com/office/drawing/2014/chart" uri="{C3380CC4-5D6E-409C-BE32-E72D297353CC}">
              <c16:uniqueId val="{00000003-688D-4037-AB53-097F0DE442CF}"/>
            </c:ext>
          </c:extLst>
        </c:ser>
        <c:ser>
          <c:idx val="2"/>
          <c:order val="4"/>
          <c:tx>
            <c:strRef>
              <c:f>№7!$AE$1</c:f>
              <c:strCache>
                <c:ptCount val="1"/>
                <c:pt idx="0">
                  <c:v>Соловьев (ЛДПР)</c:v>
                </c:pt>
              </c:strCache>
            </c:strRef>
          </c:tx>
          <c:spPr>
            <a:solidFill>
              <a:srgbClr val="FF9900">
                <a:alpha val="50000"/>
              </a:srgbClr>
            </a:solidFill>
            <a:ln w="25400">
              <a:noFill/>
            </a:ln>
          </c:spPr>
          <c:invertIfNegative val="0"/>
          <c:xVal>
            <c:numRef>
              <c:f>№7!$J$2:$J$4</c:f>
              <c:numCache>
                <c:formatCode>0.0</c:formatCode>
                <c:ptCount val="2"/>
                <c:pt idx="0">
                  <c:v>16.218208625138224</c:v>
                </c:pt>
                <c:pt idx="1">
                  <c:v>18.283261802575108</c:v>
                </c:pt>
              </c:numCache>
            </c:numRef>
          </c:xVal>
          <c:yVal>
            <c:numRef>
              <c:f>№7!$AE$2:$AE$4</c:f>
              <c:numCache>
                <c:formatCode>0.0</c:formatCode>
                <c:ptCount val="2"/>
                <c:pt idx="0">
                  <c:v>3.1818181818181817</c:v>
                </c:pt>
                <c:pt idx="1">
                  <c:v>2.5882352941176472</c:v>
                </c:pt>
              </c:numCache>
            </c:numRef>
          </c:yVal>
          <c:bubbleSize>
            <c:numRef>
              <c:f>№7!$E$2:$E$4</c:f>
              <c:numCache>
                <c:formatCode>General</c:formatCode>
                <c:ptCount val="2"/>
                <c:pt idx="0">
                  <c:v>2713</c:v>
                </c:pt>
                <c:pt idx="1">
                  <c:v>2330</c:v>
                </c:pt>
              </c:numCache>
            </c:numRef>
          </c:bubbleSize>
          <c:bubble3D val="0"/>
          <c:extLst>
            <c:ext xmlns:c16="http://schemas.microsoft.com/office/drawing/2014/chart" uri="{C3380CC4-5D6E-409C-BE32-E72D297353CC}">
              <c16:uniqueId val="{00000004-688D-4037-AB53-097F0DE442CF}"/>
            </c:ext>
          </c:extLst>
        </c:ser>
        <c:ser>
          <c:idx val="3"/>
          <c:order val="5"/>
          <c:tx>
            <c:strRef>
              <c:f>№7!$AG$1</c:f>
              <c:strCache>
                <c:ptCount val="1"/>
                <c:pt idx="0">
                  <c:v>Соломатина (Родина)</c:v>
                </c:pt>
              </c:strCache>
            </c:strRef>
          </c:tx>
          <c:spPr>
            <a:solidFill>
              <a:srgbClr val="9900FF">
                <a:alpha val="50000"/>
              </a:srgbClr>
            </a:solidFill>
            <a:ln w="25400">
              <a:noFill/>
            </a:ln>
          </c:spPr>
          <c:invertIfNegative val="0"/>
          <c:xVal>
            <c:numRef>
              <c:f>№7!$J$2:$J$4</c:f>
              <c:numCache>
                <c:formatCode>0.0</c:formatCode>
                <c:ptCount val="2"/>
                <c:pt idx="0">
                  <c:v>16.218208625138224</c:v>
                </c:pt>
                <c:pt idx="1">
                  <c:v>18.283261802575108</c:v>
                </c:pt>
              </c:numCache>
            </c:numRef>
          </c:xVal>
          <c:yVal>
            <c:numRef>
              <c:f>№7!$AG$2:$AG$4</c:f>
              <c:numCache>
                <c:formatCode>0.0</c:formatCode>
                <c:ptCount val="2"/>
                <c:pt idx="0">
                  <c:v>1.1363636363636365</c:v>
                </c:pt>
                <c:pt idx="1">
                  <c:v>2.5882352941176472</c:v>
                </c:pt>
              </c:numCache>
            </c:numRef>
          </c:yVal>
          <c:bubbleSize>
            <c:numRef>
              <c:f>№7!$E$2:$E$4</c:f>
              <c:numCache>
                <c:formatCode>General</c:formatCode>
                <c:ptCount val="2"/>
                <c:pt idx="0">
                  <c:v>2713</c:v>
                </c:pt>
                <c:pt idx="1">
                  <c:v>2330</c:v>
                </c:pt>
              </c:numCache>
            </c:numRef>
          </c:bubbleSize>
          <c:bubble3D val="0"/>
          <c:extLst>
            <c:ext xmlns:c16="http://schemas.microsoft.com/office/drawing/2014/chart" uri="{C3380CC4-5D6E-409C-BE32-E72D297353CC}">
              <c16:uniqueId val="{00000005-688D-4037-AB53-097F0DE442CF}"/>
            </c:ext>
          </c:extLst>
        </c:ser>
        <c:ser>
          <c:idx val="12"/>
          <c:order val="6"/>
          <c:tx>
            <c:strRef>
              <c:f>№7!$AI$1</c:f>
              <c:strCache>
                <c:ptCount val="1"/>
                <c:pt idx="0">
                  <c:v>Цилина</c:v>
                </c:pt>
              </c:strCache>
            </c:strRef>
          </c:tx>
          <c:spPr>
            <a:solidFill>
              <a:srgbClr val="000000">
                <a:alpha val="50000"/>
              </a:srgbClr>
            </a:solidFill>
            <a:ln w="25400">
              <a:noFill/>
            </a:ln>
          </c:spPr>
          <c:invertIfNegative val="0"/>
          <c:xVal>
            <c:numRef>
              <c:f>№7!$J$2:$J$4</c:f>
              <c:numCache>
                <c:formatCode>0.0</c:formatCode>
                <c:ptCount val="2"/>
                <c:pt idx="0">
                  <c:v>16.218208625138224</c:v>
                </c:pt>
                <c:pt idx="1">
                  <c:v>18.283261802575108</c:v>
                </c:pt>
              </c:numCache>
            </c:numRef>
          </c:xVal>
          <c:yVal>
            <c:numRef>
              <c:f>№7!$AI$2:$AI$4</c:f>
              <c:numCache>
                <c:formatCode>0.0</c:formatCode>
                <c:ptCount val="2"/>
                <c:pt idx="0">
                  <c:v>3.4090909090909092</c:v>
                </c:pt>
                <c:pt idx="1">
                  <c:v>1.6470588235294117</c:v>
                </c:pt>
              </c:numCache>
            </c:numRef>
          </c:yVal>
          <c:bubbleSize>
            <c:numRef>
              <c:f>№7!$E$2:$E$4</c:f>
              <c:numCache>
                <c:formatCode>General</c:formatCode>
                <c:ptCount val="2"/>
                <c:pt idx="0">
                  <c:v>2713</c:v>
                </c:pt>
                <c:pt idx="1">
                  <c:v>2330</c:v>
                </c:pt>
              </c:numCache>
            </c:numRef>
          </c:bubbleSize>
          <c:bubble3D val="0"/>
          <c:extLst>
            <c:ext xmlns:c16="http://schemas.microsoft.com/office/drawing/2014/chart" uri="{C3380CC4-5D6E-409C-BE32-E72D297353CC}">
              <c16:uniqueId val="{00000006-688D-4037-AB53-097F0DE442CF}"/>
            </c:ext>
          </c:extLst>
        </c:ser>
        <c:ser>
          <c:idx val="0"/>
          <c:order val="7"/>
          <c:tx>
            <c:strRef>
              <c:f>№7!$R$1</c:f>
              <c:strCache>
                <c:ptCount val="1"/>
                <c:pt idx="0">
                  <c:v>Недействительных</c:v>
                </c:pt>
              </c:strCache>
            </c:strRef>
          </c:tx>
          <c:spPr>
            <a:noFill/>
            <a:ln w="6350">
              <a:solidFill>
                <a:srgbClr val="000000"/>
              </a:solidFill>
            </a:ln>
          </c:spPr>
          <c:invertIfNegative val="0"/>
          <c:xVal>
            <c:numRef>
              <c:f>№7!$J$2:$J$4</c:f>
              <c:numCache>
                <c:formatCode>0.0</c:formatCode>
                <c:ptCount val="2"/>
                <c:pt idx="0">
                  <c:v>16.218208625138224</c:v>
                </c:pt>
                <c:pt idx="1">
                  <c:v>18.283261802575108</c:v>
                </c:pt>
              </c:numCache>
            </c:numRef>
          </c:xVal>
          <c:yVal>
            <c:numRef>
              <c:f>№7!$R$2:$R$4</c:f>
              <c:numCache>
                <c:formatCode>0.0</c:formatCode>
                <c:ptCount val="2"/>
                <c:pt idx="0">
                  <c:v>5.6818181818181817</c:v>
                </c:pt>
                <c:pt idx="1">
                  <c:v>3.7647058823529411</c:v>
                </c:pt>
              </c:numCache>
            </c:numRef>
          </c:yVal>
          <c:bubbleSize>
            <c:numRef>
              <c:f>№7!$E$2:$E$4</c:f>
              <c:numCache>
                <c:formatCode>General</c:formatCode>
                <c:ptCount val="2"/>
                <c:pt idx="0">
                  <c:v>2713</c:v>
                </c:pt>
                <c:pt idx="1">
                  <c:v>2330</c:v>
                </c:pt>
              </c:numCache>
            </c:numRef>
          </c:bubbleSize>
          <c:bubble3D val="0"/>
          <c:extLst>
            <c:ext xmlns:c16="http://schemas.microsoft.com/office/drawing/2014/chart" uri="{C3380CC4-5D6E-409C-BE32-E72D297353CC}">
              <c16:uniqueId val="{00000008-688D-4037-AB53-097F0DE442CF}"/>
            </c:ext>
          </c:extLst>
        </c:ser>
        <c:ser>
          <c:idx val="1"/>
          <c:order val="8"/>
          <c:tx>
            <c:strRef>
              <c:f>№7!$P$1</c:f>
              <c:strCache>
                <c:ptCount val="1"/>
                <c:pt idx="0">
                  <c:v>Надомка</c:v>
                </c:pt>
              </c:strCache>
            </c:strRef>
          </c:tx>
          <c:spPr>
            <a:noFill/>
            <a:ln w="6350" cmpd="sng">
              <a:solidFill>
                <a:srgbClr val="000000"/>
              </a:solidFill>
              <a:prstDash val="sysDot"/>
            </a:ln>
          </c:spPr>
          <c:invertIfNegative val="0"/>
          <c:xVal>
            <c:numRef>
              <c:f>№7!$J$2:$J$4</c:f>
              <c:numCache>
                <c:formatCode>0.0</c:formatCode>
                <c:ptCount val="2"/>
                <c:pt idx="0">
                  <c:v>16.218208625138224</c:v>
                </c:pt>
                <c:pt idx="1">
                  <c:v>18.283261802575108</c:v>
                </c:pt>
              </c:numCache>
            </c:numRef>
          </c:xVal>
          <c:yVal>
            <c:numRef>
              <c:f>№7!$P$2:$P$4</c:f>
              <c:numCache>
                <c:formatCode>0.0</c:formatCode>
                <c:ptCount val="2"/>
                <c:pt idx="0">
                  <c:v>0.45454545454545453</c:v>
                </c:pt>
                <c:pt idx="1">
                  <c:v>3.0588235294117645</c:v>
                </c:pt>
              </c:numCache>
            </c:numRef>
          </c:yVal>
          <c:bubbleSize>
            <c:numRef>
              <c:f>№7!$E$2:$E$4</c:f>
              <c:numCache>
                <c:formatCode>General</c:formatCode>
                <c:ptCount val="2"/>
                <c:pt idx="0">
                  <c:v>2713</c:v>
                </c:pt>
                <c:pt idx="1">
                  <c:v>2330</c:v>
                </c:pt>
              </c:numCache>
            </c:numRef>
          </c:bubbleSize>
          <c:bubble3D val="0"/>
          <c:extLst>
            <c:ext xmlns:c16="http://schemas.microsoft.com/office/drawing/2014/chart" uri="{C3380CC4-5D6E-409C-BE32-E72D297353CC}">
              <c16:uniqueId val="{00000009-688D-4037-AB53-097F0DE442CF}"/>
            </c:ext>
          </c:extLst>
        </c:ser>
        <c:ser>
          <c:idx val="17"/>
          <c:order val="9"/>
          <c:tx>
            <c:strRef>
              <c:f>№7!$V$41</c:f>
              <c:strCache>
                <c:ptCount val="1"/>
                <c:pt idx="0">
                  <c:v>Макс. размер кружка               .</c:v>
                </c:pt>
              </c:strCache>
            </c:strRef>
          </c:tx>
          <c:spPr>
            <a:ln w="25400">
              <a:noFill/>
            </a:ln>
          </c:spPr>
          <c:invertIfNegative val="0"/>
          <c:xVal>
            <c:numLit>
              <c:formatCode>General</c:formatCode>
              <c:ptCount val="1"/>
              <c:pt idx="0">
                <c:v>-10</c:v>
              </c:pt>
            </c:numLit>
          </c:xVal>
          <c:yVal>
            <c:numLit>
              <c:formatCode>General</c:formatCode>
              <c:ptCount val="1"/>
              <c:pt idx="0">
                <c:v>-10</c:v>
              </c:pt>
            </c:numLit>
          </c:yVal>
          <c:bubbleSize>
            <c:numRef>
              <c:f>№7!$V$42</c:f>
              <c:numCache>
                <c:formatCode>General</c:formatCode>
                <c:ptCount val="1"/>
                <c:pt idx="0">
                  <c:v>5646</c:v>
                </c:pt>
              </c:numCache>
            </c:numRef>
          </c:bubbleSize>
          <c:bubble3D val="0"/>
          <c:extLst>
            <c:ext xmlns:c16="http://schemas.microsoft.com/office/drawing/2014/chart" uri="{C3380CC4-5D6E-409C-BE32-E72D297353CC}">
              <c16:uniqueId val="{0000000A-688D-4037-AB53-097F0DE442CF}"/>
            </c:ext>
          </c:extLst>
        </c:ser>
        <c:dLbls>
          <c:showLegendKey val="0"/>
          <c:showVal val="0"/>
          <c:showCatName val="0"/>
          <c:showSerName val="0"/>
          <c:showPercent val="0"/>
          <c:showBubbleSize val="0"/>
        </c:dLbls>
        <c:bubbleScale val="10"/>
        <c:showNegBubbles val="0"/>
        <c:axId val="1404683680"/>
        <c:axId val="1467487472"/>
      </c:bubbleChart>
      <c:valAx>
        <c:axId val="1404683680"/>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ru-RU"/>
                  <a:t>Явка (%)</a:t>
                </a:r>
                <a:endParaRPr lang="en-US"/>
              </a:p>
            </c:rich>
          </c:tx>
          <c:layout>
            <c:manualLayout>
              <c:xMode val="edge"/>
              <c:yMode val="edge"/>
              <c:x val="0.52519404483976884"/>
              <c:y val="0.97176842105263161"/>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7487472"/>
        <c:crossesAt val="0"/>
        <c:crossBetween val="midCat"/>
      </c:valAx>
      <c:valAx>
        <c:axId val="14674874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ru-RU"/>
                  <a:t>% за</a:t>
                </a:r>
                <a:endParaRPr lang="en-US"/>
              </a:p>
            </c:rich>
          </c:tx>
          <c:layout>
            <c:manualLayout>
              <c:xMode val="edge"/>
              <c:yMode val="edge"/>
              <c:x val="0"/>
              <c:y val="0.43011476608187127"/>
            </c:manualLayout>
          </c:layout>
          <c:overlay val="0"/>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4683680"/>
        <c:crosses val="autoZero"/>
        <c:crossBetween val="midCat"/>
        <c:majorUnit val="10"/>
      </c:valAx>
    </c:plotArea>
    <c:legend>
      <c:legendPos val="b"/>
      <c:layout>
        <c:manualLayout>
          <c:xMode val="edge"/>
          <c:yMode val="edge"/>
          <c:x val="0.80454633898072059"/>
          <c:y val="0.1025620694536567"/>
          <c:w val="0.16224020216582116"/>
          <c:h val="0.31771212134217924"/>
        </c:manualLayout>
      </c:layout>
      <c:overlay val="0"/>
      <c:spPr>
        <a:solidFill>
          <a:srgbClr val="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9010</xdr:colOff>
      <xdr:row>42</xdr:row>
      <xdr:rowOff>179619</xdr:rowOff>
    </xdr:from>
    <xdr:to>
      <xdr:col>20</xdr:col>
      <xdr:colOff>303925</xdr:colOff>
      <xdr:row>80</xdr:row>
      <xdr:rowOff>134812</xdr:rowOff>
    </xdr:to>
    <xdr:graphicFrame macro="">
      <xdr:nvGraphicFramePr>
        <xdr:cNvPr id="2" name="Chart 1">
          <a:extLst>
            <a:ext uri="{FF2B5EF4-FFF2-40B4-BE49-F238E27FC236}">
              <a16:creationId xmlns:a16="http://schemas.microsoft.com/office/drawing/2014/main" id="{5FA27148-FA9C-4920-B6AB-D12332896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66</xdr:row>
      <xdr:rowOff>751</xdr:rowOff>
    </xdr:from>
    <xdr:to>
      <xdr:col>24</xdr:col>
      <xdr:colOff>369987</xdr:colOff>
      <xdr:row>71</xdr:row>
      <xdr:rowOff>30198</xdr:rowOff>
    </xdr:to>
    <mc:AlternateContent xmlns:mc="http://schemas.openxmlformats.org/markup-compatibility/2006" xmlns:sle15="http://schemas.microsoft.com/office/drawing/2012/slicer">
      <mc:Choice Requires="sle15">
        <xdr:graphicFrame macro="">
          <xdr:nvGraphicFramePr>
            <xdr:cNvPr id="4" name="КОИБ">
              <a:extLst>
                <a:ext uri="{FF2B5EF4-FFF2-40B4-BE49-F238E27FC236}">
                  <a16:creationId xmlns:a16="http://schemas.microsoft.com/office/drawing/2014/main" id="{4F591155-D9B3-4B26-B684-8E74AD8FA032}"/>
                </a:ext>
              </a:extLst>
            </xdr:cNvPr>
            <xdr:cNvGraphicFramePr/>
          </xdr:nvGraphicFramePr>
          <xdr:xfrm>
            <a:off x="0" y="0"/>
            <a:ext cx="0" cy="0"/>
          </xdr:xfrm>
          <a:graphic>
            <a:graphicData uri="http://schemas.microsoft.com/office/drawing/2010/slicer">
              <sle:slicer xmlns:sle="http://schemas.microsoft.com/office/drawing/2010/slicer" name="КОИБ"/>
            </a:graphicData>
          </a:graphic>
        </xdr:graphicFrame>
      </mc:Choice>
      <mc:Fallback xmlns="">
        <xdr:sp macro="" textlink="">
          <xdr:nvSpPr>
            <xdr:cNvPr id="0" name=""/>
            <xdr:cNvSpPr>
              <a:spLocks noTextEdit="1"/>
            </xdr:cNvSpPr>
          </xdr:nvSpPr>
          <xdr:spPr>
            <a:xfrm>
              <a:off x="10115030" y="11961194"/>
              <a:ext cx="1656641" cy="93554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0</xdr:col>
      <xdr:colOff>7552</xdr:colOff>
      <xdr:row>81</xdr:row>
      <xdr:rowOff>181214</xdr:rowOff>
    </xdr:from>
    <xdr:to>
      <xdr:col>9</xdr:col>
      <xdr:colOff>380902</xdr:colOff>
      <xdr:row>101</xdr:row>
      <xdr:rowOff>91094</xdr:rowOff>
    </xdr:to>
    <xdr:graphicFrame macro="">
      <xdr:nvGraphicFramePr>
        <xdr:cNvPr id="5" name="Chart 4">
          <a:extLst>
            <a:ext uri="{FF2B5EF4-FFF2-40B4-BE49-F238E27FC236}">
              <a16:creationId xmlns:a16="http://schemas.microsoft.com/office/drawing/2014/main" id="{743ED520-4D93-49E6-80E5-FA21A17A7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0.29274</cdr:x>
      <cdr:y>0.23478</cdr:y>
    </cdr:from>
    <cdr:to>
      <cdr:x>0.36465</cdr:x>
      <cdr:y>0.27783</cdr:y>
    </cdr:to>
    <cdr:sp macro="" textlink="">
      <cdr:nvSpPr>
        <cdr:cNvPr id="2" name="TextBox 1">
          <a:extLst xmlns:a="http://schemas.openxmlformats.org/drawingml/2006/main">
            <a:ext uri="{FF2B5EF4-FFF2-40B4-BE49-F238E27FC236}">
              <a16:creationId xmlns:a16="http://schemas.microsoft.com/office/drawing/2014/main" id="{5FCBC543-4A51-4656-8CCF-BB11DF164FD3}"/>
            </a:ext>
          </a:extLst>
        </cdr:cNvPr>
        <cdr:cNvSpPr txBox="1"/>
      </cdr:nvSpPr>
      <cdr:spPr>
        <a:xfrm xmlns:a="http://schemas.openxmlformats.org/drawingml/2006/main">
          <a:off x="2920098" y="1606263"/>
          <a:ext cx="717325" cy="2944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ru-RU" sz="1100"/>
            <a:t>2688 Руза</a:t>
          </a:r>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9010</xdr:colOff>
      <xdr:row>6</xdr:row>
      <xdr:rowOff>179619</xdr:rowOff>
    </xdr:from>
    <xdr:to>
      <xdr:col>20</xdr:col>
      <xdr:colOff>303925</xdr:colOff>
      <xdr:row>44</xdr:row>
      <xdr:rowOff>134812</xdr:rowOff>
    </xdr:to>
    <xdr:graphicFrame macro="">
      <xdr:nvGraphicFramePr>
        <xdr:cNvPr id="2" name="Chart 1">
          <a:extLst>
            <a:ext uri="{FF2B5EF4-FFF2-40B4-BE49-F238E27FC236}">
              <a16:creationId xmlns:a16="http://schemas.microsoft.com/office/drawing/2014/main" id="{BEC08459-1A6D-4DED-987C-978A1DF9FA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27</xdr:row>
      <xdr:rowOff>754</xdr:rowOff>
    </xdr:from>
    <xdr:to>
      <xdr:col>24</xdr:col>
      <xdr:colOff>369987</xdr:colOff>
      <xdr:row>32</xdr:row>
      <xdr:rowOff>30202</xdr:rowOff>
    </xdr:to>
    <mc:AlternateContent xmlns:mc="http://schemas.openxmlformats.org/markup-compatibility/2006" xmlns:sle15="http://schemas.microsoft.com/office/drawing/2012/slicer">
      <mc:Choice Requires="sle15">
        <xdr:graphicFrame macro="">
          <xdr:nvGraphicFramePr>
            <xdr:cNvPr id="3" name="КОИБ 6">
              <a:extLst>
                <a:ext uri="{FF2B5EF4-FFF2-40B4-BE49-F238E27FC236}">
                  <a16:creationId xmlns:a16="http://schemas.microsoft.com/office/drawing/2014/main" id="{DEA8C0BD-21CE-4849-8160-6DC80226524E}"/>
                </a:ext>
              </a:extLst>
            </xdr:cNvPr>
            <xdr:cNvGraphicFramePr/>
          </xdr:nvGraphicFramePr>
          <xdr:xfrm>
            <a:off x="0" y="0"/>
            <a:ext cx="0" cy="0"/>
          </xdr:xfrm>
          <a:graphic>
            <a:graphicData uri="http://schemas.microsoft.com/office/drawing/2010/slicer">
              <sle:slicer xmlns:sle="http://schemas.microsoft.com/office/drawing/2010/slicer" name="КОИБ 6"/>
            </a:graphicData>
          </a:graphic>
        </xdr:graphicFrame>
      </mc:Choice>
      <mc:Fallback xmlns="">
        <xdr:sp macro="" textlink="">
          <xdr:nvSpPr>
            <xdr:cNvPr id="0" name=""/>
            <xdr:cNvSpPr>
              <a:spLocks noTextEdit="1"/>
            </xdr:cNvSpPr>
          </xdr:nvSpPr>
          <xdr:spPr>
            <a:xfrm>
              <a:off x="10088183" y="4916315"/>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9010</xdr:colOff>
      <xdr:row>5</xdr:row>
      <xdr:rowOff>179619</xdr:rowOff>
    </xdr:from>
    <xdr:to>
      <xdr:col>20</xdr:col>
      <xdr:colOff>303925</xdr:colOff>
      <xdr:row>43</xdr:row>
      <xdr:rowOff>134811</xdr:rowOff>
    </xdr:to>
    <xdr:graphicFrame macro="">
      <xdr:nvGraphicFramePr>
        <xdr:cNvPr id="2" name="Chart 1">
          <a:extLst>
            <a:ext uri="{FF2B5EF4-FFF2-40B4-BE49-F238E27FC236}">
              <a16:creationId xmlns:a16="http://schemas.microsoft.com/office/drawing/2014/main" id="{B2CB92DF-6090-45AB-BCE8-966365F4BB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26</xdr:row>
      <xdr:rowOff>754</xdr:rowOff>
    </xdr:from>
    <xdr:to>
      <xdr:col>24</xdr:col>
      <xdr:colOff>369987</xdr:colOff>
      <xdr:row>31</xdr:row>
      <xdr:rowOff>30202</xdr:rowOff>
    </xdr:to>
    <mc:AlternateContent xmlns:mc="http://schemas.openxmlformats.org/markup-compatibility/2006" xmlns:sle15="http://schemas.microsoft.com/office/drawing/2012/slicer">
      <mc:Choice Requires="sle15">
        <xdr:graphicFrame macro="">
          <xdr:nvGraphicFramePr>
            <xdr:cNvPr id="3" name="КОИБ 7">
              <a:extLst>
                <a:ext uri="{FF2B5EF4-FFF2-40B4-BE49-F238E27FC236}">
                  <a16:creationId xmlns:a16="http://schemas.microsoft.com/office/drawing/2014/main" id="{F98AE6EF-C29B-4A73-BB5A-58B037F7842A}"/>
                </a:ext>
              </a:extLst>
            </xdr:cNvPr>
            <xdr:cNvGraphicFramePr/>
          </xdr:nvGraphicFramePr>
          <xdr:xfrm>
            <a:off x="0" y="0"/>
            <a:ext cx="0" cy="0"/>
          </xdr:xfrm>
          <a:graphic>
            <a:graphicData uri="http://schemas.microsoft.com/office/drawing/2010/slicer">
              <sle:slicer xmlns:sle="http://schemas.microsoft.com/office/drawing/2010/slicer" name="КОИБ 7"/>
            </a:graphicData>
          </a:graphic>
        </xdr:graphicFrame>
      </mc:Choice>
      <mc:Fallback xmlns="">
        <xdr:sp macro="" textlink="">
          <xdr:nvSpPr>
            <xdr:cNvPr id="0" name=""/>
            <xdr:cNvSpPr>
              <a:spLocks noTextEdit="1"/>
            </xdr:cNvSpPr>
          </xdr:nvSpPr>
          <xdr:spPr>
            <a:xfrm>
              <a:off x="10088183" y="4734257"/>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9010</xdr:colOff>
      <xdr:row>6</xdr:row>
      <xdr:rowOff>179619</xdr:rowOff>
    </xdr:from>
    <xdr:to>
      <xdr:col>20</xdr:col>
      <xdr:colOff>303925</xdr:colOff>
      <xdr:row>44</xdr:row>
      <xdr:rowOff>134812</xdr:rowOff>
    </xdr:to>
    <xdr:graphicFrame macro="">
      <xdr:nvGraphicFramePr>
        <xdr:cNvPr id="2" name="Chart 1">
          <a:extLst>
            <a:ext uri="{FF2B5EF4-FFF2-40B4-BE49-F238E27FC236}">
              <a16:creationId xmlns:a16="http://schemas.microsoft.com/office/drawing/2014/main" id="{4CB7417B-8A6F-4915-9608-ABF735CEAA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27</xdr:row>
      <xdr:rowOff>754</xdr:rowOff>
    </xdr:from>
    <xdr:to>
      <xdr:col>24</xdr:col>
      <xdr:colOff>369987</xdr:colOff>
      <xdr:row>32</xdr:row>
      <xdr:rowOff>30202</xdr:rowOff>
    </xdr:to>
    <mc:AlternateContent xmlns:mc="http://schemas.openxmlformats.org/markup-compatibility/2006" xmlns:sle15="http://schemas.microsoft.com/office/drawing/2012/slicer">
      <mc:Choice Requires="sle15">
        <xdr:graphicFrame macro="">
          <xdr:nvGraphicFramePr>
            <xdr:cNvPr id="3" name="КОИБ 8">
              <a:extLst>
                <a:ext uri="{FF2B5EF4-FFF2-40B4-BE49-F238E27FC236}">
                  <a16:creationId xmlns:a16="http://schemas.microsoft.com/office/drawing/2014/main" id="{1CA7F5D9-3509-4C7E-A57F-FD2A34888369}"/>
                </a:ext>
              </a:extLst>
            </xdr:cNvPr>
            <xdr:cNvGraphicFramePr/>
          </xdr:nvGraphicFramePr>
          <xdr:xfrm>
            <a:off x="0" y="0"/>
            <a:ext cx="0" cy="0"/>
          </xdr:xfrm>
          <a:graphic>
            <a:graphicData uri="http://schemas.microsoft.com/office/drawing/2010/slicer">
              <sle:slicer xmlns:sle="http://schemas.microsoft.com/office/drawing/2010/slicer" name="КОИБ 8"/>
            </a:graphicData>
          </a:graphic>
        </xdr:graphicFrame>
      </mc:Choice>
      <mc:Fallback xmlns="">
        <xdr:sp macro="" textlink="">
          <xdr:nvSpPr>
            <xdr:cNvPr id="0" name=""/>
            <xdr:cNvSpPr>
              <a:spLocks noTextEdit="1"/>
            </xdr:cNvSpPr>
          </xdr:nvSpPr>
          <xdr:spPr>
            <a:xfrm>
              <a:off x="10088183" y="4916315"/>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9010</xdr:colOff>
      <xdr:row>7</xdr:row>
      <xdr:rowOff>179619</xdr:rowOff>
    </xdr:from>
    <xdr:to>
      <xdr:col>20</xdr:col>
      <xdr:colOff>303925</xdr:colOff>
      <xdr:row>45</xdr:row>
      <xdr:rowOff>134811</xdr:rowOff>
    </xdr:to>
    <xdr:graphicFrame macro="">
      <xdr:nvGraphicFramePr>
        <xdr:cNvPr id="2" name="Chart 1">
          <a:extLst>
            <a:ext uri="{FF2B5EF4-FFF2-40B4-BE49-F238E27FC236}">
              <a16:creationId xmlns:a16="http://schemas.microsoft.com/office/drawing/2014/main" id="{CFEFA053-345E-444E-8001-A40530750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28</xdr:row>
      <xdr:rowOff>754</xdr:rowOff>
    </xdr:from>
    <xdr:to>
      <xdr:col>24</xdr:col>
      <xdr:colOff>369987</xdr:colOff>
      <xdr:row>33</xdr:row>
      <xdr:rowOff>30202</xdr:rowOff>
    </xdr:to>
    <mc:AlternateContent xmlns:mc="http://schemas.openxmlformats.org/markup-compatibility/2006" xmlns:sle15="http://schemas.microsoft.com/office/drawing/2012/slicer">
      <mc:Choice Requires="sle15">
        <xdr:graphicFrame macro="">
          <xdr:nvGraphicFramePr>
            <xdr:cNvPr id="3" name="КОИБ 9">
              <a:extLst>
                <a:ext uri="{FF2B5EF4-FFF2-40B4-BE49-F238E27FC236}">
                  <a16:creationId xmlns:a16="http://schemas.microsoft.com/office/drawing/2014/main" id="{3ED46E1D-4D54-4328-A688-55B2D8D9C83C}"/>
                </a:ext>
              </a:extLst>
            </xdr:cNvPr>
            <xdr:cNvGraphicFramePr/>
          </xdr:nvGraphicFramePr>
          <xdr:xfrm>
            <a:off x="0" y="0"/>
            <a:ext cx="0" cy="0"/>
          </xdr:xfrm>
          <a:graphic>
            <a:graphicData uri="http://schemas.microsoft.com/office/drawing/2010/slicer">
              <sle:slicer xmlns:sle="http://schemas.microsoft.com/office/drawing/2010/slicer" name="КОИБ 9"/>
            </a:graphicData>
          </a:graphic>
        </xdr:graphicFrame>
      </mc:Choice>
      <mc:Fallback xmlns="">
        <xdr:sp macro="" textlink="">
          <xdr:nvSpPr>
            <xdr:cNvPr id="0" name=""/>
            <xdr:cNvSpPr>
              <a:spLocks noTextEdit="1"/>
            </xdr:cNvSpPr>
          </xdr:nvSpPr>
          <xdr:spPr>
            <a:xfrm>
              <a:off x="10088183" y="5098373"/>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9010</xdr:colOff>
      <xdr:row>9</xdr:row>
      <xdr:rowOff>179619</xdr:rowOff>
    </xdr:from>
    <xdr:to>
      <xdr:col>20</xdr:col>
      <xdr:colOff>303925</xdr:colOff>
      <xdr:row>47</xdr:row>
      <xdr:rowOff>134811</xdr:rowOff>
    </xdr:to>
    <xdr:graphicFrame macro="">
      <xdr:nvGraphicFramePr>
        <xdr:cNvPr id="2" name="Chart 1">
          <a:extLst>
            <a:ext uri="{FF2B5EF4-FFF2-40B4-BE49-F238E27FC236}">
              <a16:creationId xmlns:a16="http://schemas.microsoft.com/office/drawing/2014/main" id="{248B0E90-5E80-4C0B-9642-BDFCAB8B3D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30</xdr:row>
      <xdr:rowOff>754</xdr:rowOff>
    </xdr:from>
    <xdr:to>
      <xdr:col>24</xdr:col>
      <xdr:colOff>369987</xdr:colOff>
      <xdr:row>35</xdr:row>
      <xdr:rowOff>30202</xdr:rowOff>
    </xdr:to>
    <mc:AlternateContent xmlns:mc="http://schemas.openxmlformats.org/markup-compatibility/2006" xmlns:sle15="http://schemas.microsoft.com/office/drawing/2012/slicer">
      <mc:Choice Requires="sle15">
        <xdr:graphicFrame macro="">
          <xdr:nvGraphicFramePr>
            <xdr:cNvPr id="3" name="КОИБ 10">
              <a:extLst>
                <a:ext uri="{FF2B5EF4-FFF2-40B4-BE49-F238E27FC236}">
                  <a16:creationId xmlns:a16="http://schemas.microsoft.com/office/drawing/2014/main" id="{50C6A0BB-12ED-4EDA-AD6D-9DF0CD09DED7}"/>
                </a:ext>
              </a:extLst>
            </xdr:cNvPr>
            <xdr:cNvGraphicFramePr/>
          </xdr:nvGraphicFramePr>
          <xdr:xfrm>
            <a:off x="0" y="0"/>
            <a:ext cx="0" cy="0"/>
          </xdr:xfrm>
          <a:graphic>
            <a:graphicData uri="http://schemas.microsoft.com/office/drawing/2010/slicer">
              <sle:slicer xmlns:sle="http://schemas.microsoft.com/office/drawing/2010/slicer" name="КОИБ 10"/>
            </a:graphicData>
          </a:graphic>
        </xdr:graphicFrame>
      </mc:Choice>
      <mc:Fallback xmlns="">
        <xdr:sp macro="" textlink="">
          <xdr:nvSpPr>
            <xdr:cNvPr id="0" name=""/>
            <xdr:cNvSpPr>
              <a:spLocks noTextEdit="1"/>
            </xdr:cNvSpPr>
          </xdr:nvSpPr>
          <xdr:spPr>
            <a:xfrm>
              <a:off x="10088183" y="5462488"/>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16.xml><?xml version="1.0" encoding="utf-8"?>
<c:userShapes xmlns:c="http://schemas.openxmlformats.org/drawingml/2006/chart">
  <cdr:relSizeAnchor xmlns:cdr="http://schemas.openxmlformats.org/drawingml/2006/chartDrawing">
    <cdr:from>
      <cdr:x>0.56525</cdr:x>
      <cdr:y>0.09903</cdr:y>
    </cdr:from>
    <cdr:to>
      <cdr:x>0.63717</cdr:x>
      <cdr:y>0.14207</cdr:y>
    </cdr:to>
    <cdr:sp macro="" textlink="">
      <cdr:nvSpPr>
        <cdr:cNvPr id="2" name="TextBox 1">
          <a:extLst xmlns:a="http://schemas.openxmlformats.org/drawingml/2006/main">
            <a:ext uri="{FF2B5EF4-FFF2-40B4-BE49-F238E27FC236}">
              <a16:creationId xmlns:a16="http://schemas.microsoft.com/office/drawing/2014/main" id="{777F50FB-971A-4D66-91A0-ABA9182B0DEF}"/>
            </a:ext>
          </a:extLst>
        </cdr:cNvPr>
        <cdr:cNvSpPr txBox="1"/>
      </cdr:nvSpPr>
      <cdr:spPr>
        <a:xfrm xmlns:a="http://schemas.openxmlformats.org/drawingml/2006/main">
          <a:off x="5638380" y="677515"/>
          <a:ext cx="717403" cy="29445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ru-RU" sz="1100"/>
            <a:t>2711</a:t>
          </a:r>
          <a:r>
            <a:rPr lang="ru-RU" sz="1100" baseline="0"/>
            <a:t> Лыщиково</a:t>
          </a:r>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0.29198</cdr:x>
      <cdr:y>0.2392</cdr:y>
    </cdr:from>
    <cdr:to>
      <cdr:x>0.3639</cdr:x>
      <cdr:y>0.28224</cdr:y>
    </cdr:to>
    <cdr:sp macro="" textlink="">
      <cdr:nvSpPr>
        <cdr:cNvPr id="5" name="TextBox 1">
          <a:extLst xmlns:a="http://schemas.openxmlformats.org/drawingml/2006/main">
            <a:ext uri="{FF2B5EF4-FFF2-40B4-BE49-F238E27FC236}">
              <a16:creationId xmlns:a16="http://schemas.microsoft.com/office/drawing/2014/main" id="{5FCBC543-4A51-4656-8CCF-BB11DF164FD3}"/>
            </a:ext>
          </a:extLst>
        </cdr:cNvPr>
        <cdr:cNvSpPr txBox="1"/>
      </cdr:nvSpPr>
      <cdr:spPr>
        <a:xfrm xmlns:a="http://schemas.openxmlformats.org/drawingml/2006/main">
          <a:off x="2912548" y="1636464"/>
          <a:ext cx="717325" cy="2944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ru-RU" sz="1100"/>
            <a:t>2688 Руза</a:t>
          </a:r>
          <a:endParaRPr lang="en-US" sz="1100"/>
        </a:p>
      </cdr:txBody>
    </cdr:sp>
  </cdr:relSizeAnchor>
  <cdr:relSizeAnchor xmlns:cdr="http://schemas.openxmlformats.org/drawingml/2006/chartDrawing">
    <cdr:from>
      <cdr:x>0.29804</cdr:x>
      <cdr:y>0.2999</cdr:y>
    </cdr:from>
    <cdr:to>
      <cdr:x>0.36995</cdr:x>
      <cdr:y>0.34294</cdr:y>
    </cdr:to>
    <cdr:sp macro="" textlink="">
      <cdr:nvSpPr>
        <cdr:cNvPr id="6" name="TextBox 1">
          <a:extLst xmlns:a="http://schemas.openxmlformats.org/drawingml/2006/main">
            <a:ext uri="{FF2B5EF4-FFF2-40B4-BE49-F238E27FC236}">
              <a16:creationId xmlns:a16="http://schemas.microsoft.com/office/drawing/2014/main" id="{5FCBC543-4A51-4656-8CCF-BB11DF164FD3}"/>
            </a:ext>
          </a:extLst>
        </cdr:cNvPr>
        <cdr:cNvSpPr txBox="1"/>
      </cdr:nvSpPr>
      <cdr:spPr>
        <a:xfrm xmlns:a="http://schemas.openxmlformats.org/drawingml/2006/main">
          <a:off x="2972953" y="2051758"/>
          <a:ext cx="717325" cy="2944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ru-RU" sz="1100"/>
            <a:t>2685 Руза</a:t>
          </a:r>
          <a:endParaRPr lang="en-US" sz="1100"/>
        </a:p>
      </cdr:txBody>
    </cdr:sp>
  </cdr:relSizeAnchor>
  <cdr:relSizeAnchor xmlns:cdr="http://schemas.openxmlformats.org/drawingml/2006/chartDrawing">
    <cdr:from>
      <cdr:x>0.56449</cdr:x>
      <cdr:y>0.08799</cdr:y>
    </cdr:from>
    <cdr:to>
      <cdr:x>0.63641</cdr:x>
      <cdr:y>0.13103</cdr:y>
    </cdr:to>
    <cdr:sp macro="" textlink="">
      <cdr:nvSpPr>
        <cdr:cNvPr id="4" name="TextBox 1">
          <a:extLst xmlns:a="http://schemas.openxmlformats.org/drawingml/2006/main">
            <a:ext uri="{FF2B5EF4-FFF2-40B4-BE49-F238E27FC236}">
              <a16:creationId xmlns:a16="http://schemas.microsoft.com/office/drawing/2014/main" id="{343028C7-B8B1-47C3-96A8-A50D76F70C28}"/>
            </a:ext>
          </a:extLst>
        </cdr:cNvPr>
        <cdr:cNvSpPr txBox="1"/>
      </cdr:nvSpPr>
      <cdr:spPr>
        <a:xfrm xmlns:a="http://schemas.openxmlformats.org/drawingml/2006/main">
          <a:off x="5630833" y="602007"/>
          <a:ext cx="717403" cy="2944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ru-RU" sz="1100"/>
            <a:t>2711</a:t>
          </a:r>
          <a:r>
            <a:rPr lang="ru-RU" sz="1100" baseline="0"/>
            <a:t> Лыщиково</a:t>
          </a:r>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0.58574</cdr:x>
      <cdr:y>0.7872</cdr:y>
    </cdr:from>
    <cdr:to>
      <cdr:x>0.65766</cdr:x>
      <cdr:y>0.83024</cdr:y>
    </cdr:to>
    <cdr:sp macro="" textlink="">
      <cdr:nvSpPr>
        <cdr:cNvPr id="5" name="TextBox 1">
          <a:extLst xmlns:a="http://schemas.openxmlformats.org/drawingml/2006/main">
            <a:ext uri="{FF2B5EF4-FFF2-40B4-BE49-F238E27FC236}">
              <a16:creationId xmlns:a16="http://schemas.microsoft.com/office/drawing/2014/main" id="{5FCBC543-4A51-4656-8CCF-BB11DF164FD3}"/>
            </a:ext>
          </a:extLst>
        </cdr:cNvPr>
        <cdr:cNvSpPr txBox="1"/>
      </cdr:nvSpPr>
      <cdr:spPr>
        <a:xfrm xmlns:a="http://schemas.openxmlformats.org/drawingml/2006/main">
          <a:off x="3009493" y="2782175"/>
          <a:ext cx="369517"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ru-RU" sz="1100"/>
            <a:t>2688</a:t>
          </a:r>
          <a:endParaRPr lang="en-US" sz="1100"/>
        </a:p>
        <a:p xmlns:a="http://schemas.openxmlformats.org/drawingml/2006/main">
          <a:pPr algn="l"/>
          <a:r>
            <a:rPr lang="en-US" sz="1100">
              <a:solidFill>
                <a:srgbClr val="FF0000"/>
              </a:solidFill>
            </a:rPr>
            <a:t>10 </a:t>
          </a:r>
          <a:r>
            <a:rPr lang="ru-RU" sz="1100">
              <a:solidFill>
                <a:srgbClr val="FF0000"/>
              </a:solidFill>
            </a:rPr>
            <a:t>гол.</a:t>
          </a:r>
          <a:endParaRPr lang="en-US" sz="1100">
            <a:solidFill>
              <a:srgbClr val="FF0000"/>
            </a:solidFill>
          </a:endParaRPr>
        </a:p>
      </cdr:txBody>
    </cdr:sp>
  </cdr:relSizeAnchor>
  <cdr:relSizeAnchor xmlns:cdr="http://schemas.openxmlformats.org/drawingml/2006/chartDrawing">
    <cdr:from>
      <cdr:x>0.67461</cdr:x>
      <cdr:y>0.79663</cdr:y>
    </cdr:from>
    <cdr:to>
      <cdr:x>0.74652</cdr:x>
      <cdr:y>0.83967</cdr:y>
    </cdr:to>
    <cdr:sp macro="" textlink="">
      <cdr:nvSpPr>
        <cdr:cNvPr id="6" name="TextBox 1">
          <a:extLst xmlns:a="http://schemas.openxmlformats.org/drawingml/2006/main">
            <a:ext uri="{FF2B5EF4-FFF2-40B4-BE49-F238E27FC236}">
              <a16:creationId xmlns:a16="http://schemas.microsoft.com/office/drawing/2014/main" id="{5FCBC543-4A51-4656-8CCF-BB11DF164FD3}"/>
            </a:ext>
          </a:extLst>
        </cdr:cNvPr>
        <cdr:cNvSpPr txBox="1"/>
      </cdr:nvSpPr>
      <cdr:spPr>
        <a:xfrm xmlns:a="http://schemas.openxmlformats.org/drawingml/2006/main">
          <a:off x="3466074" y="2815480"/>
          <a:ext cx="369466"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ru-RU" sz="1100"/>
            <a:t>2685</a:t>
          </a:r>
        </a:p>
        <a:p xmlns:a="http://schemas.openxmlformats.org/drawingml/2006/main">
          <a:pPr algn="l"/>
          <a:r>
            <a:rPr lang="ru-RU" sz="1100">
              <a:solidFill>
                <a:srgbClr val="FF0000"/>
              </a:solidFill>
            </a:rPr>
            <a:t>5</a:t>
          </a:r>
          <a:r>
            <a:rPr lang="ru-RU" sz="1100" baseline="0">
              <a:solidFill>
                <a:srgbClr val="FF0000"/>
              </a:solidFill>
            </a:rPr>
            <a:t> гол.</a:t>
          </a:r>
          <a:endParaRPr lang="en-US" sz="1100">
            <a:solidFill>
              <a:srgbClr val="FF0000"/>
            </a:solidFill>
          </a:endParaRPr>
        </a:p>
      </cdr:txBody>
    </cdr:sp>
  </cdr:relSizeAnchor>
  <cdr:relSizeAnchor xmlns:cdr="http://schemas.openxmlformats.org/drawingml/2006/chartDrawing">
    <cdr:from>
      <cdr:x>0.12011</cdr:x>
      <cdr:y>0.7162</cdr:y>
    </cdr:from>
    <cdr:to>
      <cdr:x>0.19203</cdr:x>
      <cdr:y>0.75924</cdr:y>
    </cdr:to>
    <cdr:sp macro="" textlink="">
      <cdr:nvSpPr>
        <cdr:cNvPr id="7" name="TextBox 1">
          <a:extLst xmlns:a="http://schemas.openxmlformats.org/drawingml/2006/main">
            <a:ext uri="{FF2B5EF4-FFF2-40B4-BE49-F238E27FC236}">
              <a16:creationId xmlns:a16="http://schemas.microsoft.com/office/drawing/2014/main" id="{D0A0F650-B2B0-4953-A71D-93B5C3A1C561}"/>
            </a:ext>
          </a:extLst>
        </cdr:cNvPr>
        <cdr:cNvSpPr txBox="1"/>
      </cdr:nvSpPr>
      <cdr:spPr>
        <a:xfrm xmlns:a="http://schemas.openxmlformats.org/drawingml/2006/main">
          <a:off x="617109" y="2531233"/>
          <a:ext cx="369517"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ru-RU" sz="1100"/>
            <a:t>2686</a:t>
          </a:r>
          <a:endParaRPr lang="en-US" sz="1100"/>
        </a:p>
        <a:p xmlns:a="http://schemas.openxmlformats.org/drawingml/2006/main">
          <a:pPr algn="l"/>
          <a:r>
            <a:rPr lang="ru-RU" sz="1100"/>
            <a:t>38</a:t>
          </a:r>
          <a:r>
            <a:rPr lang="en-US" sz="1100"/>
            <a:t> </a:t>
          </a:r>
          <a:r>
            <a:rPr lang="ru-RU" sz="1100"/>
            <a:t>гол.</a:t>
          </a:r>
          <a:endParaRPr lang="en-US" sz="1100"/>
        </a:p>
      </cdr:txBody>
    </cdr:sp>
  </cdr:relSizeAnchor>
  <cdr:relSizeAnchor xmlns:cdr="http://schemas.openxmlformats.org/drawingml/2006/chartDrawing">
    <cdr:from>
      <cdr:x>0.20682</cdr:x>
      <cdr:y>0.73329</cdr:y>
    </cdr:from>
    <cdr:to>
      <cdr:x>0.27874</cdr:x>
      <cdr:y>0.77633</cdr:y>
    </cdr:to>
    <cdr:sp macro="" textlink="">
      <cdr:nvSpPr>
        <cdr:cNvPr id="8" name="TextBox 1">
          <a:extLst xmlns:a="http://schemas.openxmlformats.org/drawingml/2006/main">
            <a:ext uri="{FF2B5EF4-FFF2-40B4-BE49-F238E27FC236}">
              <a16:creationId xmlns:a16="http://schemas.microsoft.com/office/drawing/2014/main" id="{771DA363-7B3B-4575-8E97-C7FA180A8F27}"/>
            </a:ext>
          </a:extLst>
        </cdr:cNvPr>
        <cdr:cNvSpPr txBox="1"/>
      </cdr:nvSpPr>
      <cdr:spPr>
        <a:xfrm xmlns:a="http://schemas.openxmlformats.org/drawingml/2006/main">
          <a:off x="1062606" y="2591638"/>
          <a:ext cx="369517"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ru-RU" sz="1100"/>
            <a:t>2689</a:t>
          </a:r>
          <a:endParaRPr lang="en-US" sz="1100"/>
        </a:p>
        <a:p xmlns:a="http://schemas.openxmlformats.org/drawingml/2006/main">
          <a:pPr algn="l"/>
          <a:r>
            <a:rPr lang="ru-RU" sz="1100"/>
            <a:t>25</a:t>
          </a:r>
          <a:r>
            <a:rPr lang="en-US" sz="1100"/>
            <a:t> </a:t>
          </a:r>
          <a:r>
            <a:rPr lang="ru-RU" sz="1100"/>
            <a:t>гол.</a:t>
          </a:r>
          <a:endParaRPr lang="en-US" sz="1100"/>
        </a:p>
      </cdr:txBody>
    </cdr:sp>
  </cdr:relSizeAnchor>
  <cdr:relSizeAnchor xmlns:cdr="http://schemas.openxmlformats.org/drawingml/2006/chartDrawing">
    <cdr:from>
      <cdr:x>0.03267</cdr:x>
      <cdr:y>0.80059</cdr:y>
    </cdr:from>
    <cdr:to>
      <cdr:x>0.10459</cdr:x>
      <cdr:y>0.84363</cdr:y>
    </cdr:to>
    <cdr:sp macro="" textlink="">
      <cdr:nvSpPr>
        <cdr:cNvPr id="11" name="TextBox 1">
          <a:extLst xmlns:a="http://schemas.openxmlformats.org/drawingml/2006/main">
            <a:ext uri="{FF2B5EF4-FFF2-40B4-BE49-F238E27FC236}">
              <a16:creationId xmlns:a16="http://schemas.microsoft.com/office/drawing/2014/main" id="{C86A68D5-C95E-48BA-8D29-A849DF2BB060}"/>
            </a:ext>
          </a:extLst>
        </cdr:cNvPr>
        <cdr:cNvSpPr txBox="1"/>
      </cdr:nvSpPr>
      <cdr:spPr>
        <a:xfrm xmlns:a="http://schemas.openxmlformats.org/drawingml/2006/main">
          <a:off x="167837" y="2829489"/>
          <a:ext cx="369517"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ru-RU" sz="1100">
              <a:solidFill>
                <a:srgbClr val="808080"/>
              </a:solidFill>
            </a:rPr>
            <a:t>8.4%</a:t>
          </a:r>
          <a:endParaRPr lang="en-US" sz="1100">
            <a:solidFill>
              <a:srgbClr val="808080"/>
            </a:solidFill>
          </a:endParaRPr>
        </a:p>
      </cdr:txBody>
    </cdr:sp>
  </cdr:relSizeAnchor>
  <cdr:relSizeAnchor xmlns:cdr="http://schemas.openxmlformats.org/drawingml/2006/chartDrawing">
    <cdr:from>
      <cdr:x>0.29059</cdr:x>
      <cdr:y>0.67667</cdr:y>
    </cdr:from>
    <cdr:to>
      <cdr:x>0.36251</cdr:x>
      <cdr:y>0.71971</cdr:y>
    </cdr:to>
    <cdr:sp macro="" textlink="">
      <cdr:nvSpPr>
        <cdr:cNvPr id="12" name="TextBox 1">
          <a:extLst xmlns:a="http://schemas.openxmlformats.org/drawingml/2006/main">
            <a:ext uri="{FF2B5EF4-FFF2-40B4-BE49-F238E27FC236}">
              <a16:creationId xmlns:a16="http://schemas.microsoft.com/office/drawing/2014/main" id="{4DE3630A-7CD2-45CD-BC8D-9D53B6B4A532}"/>
            </a:ext>
          </a:extLst>
        </cdr:cNvPr>
        <cdr:cNvSpPr txBox="1"/>
      </cdr:nvSpPr>
      <cdr:spPr>
        <a:xfrm xmlns:a="http://schemas.openxmlformats.org/drawingml/2006/main">
          <a:off x="1493001" y="2391542"/>
          <a:ext cx="369517"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ru-RU" sz="1100"/>
            <a:t>268</a:t>
          </a:r>
          <a:r>
            <a:rPr lang="en-US" sz="1100"/>
            <a:t>4</a:t>
          </a:r>
        </a:p>
        <a:p xmlns:a="http://schemas.openxmlformats.org/drawingml/2006/main">
          <a:pPr algn="l"/>
          <a:r>
            <a:rPr lang="en-US" sz="1100"/>
            <a:t>50 </a:t>
          </a:r>
          <a:r>
            <a:rPr lang="ru-RU" sz="1100"/>
            <a:t>гол.</a:t>
          </a:r>
          <a:endParaRPr lang="en-US" sz="1100"/>
        </a:p>
      </cdr:txBody>
    </cdr:sp>
  </cdr:relSizeAnchor>
  <cdr:relSizeAnchor xmlns:cdr="http://schemas.openxmlformats.org/drawingml/2006/chartDrawing">
    <cdr:from>
      <cdr:x>0.37215</cdr:x>
      <cdr:y>0.73009</cdr:y>
    </cdr:from>
    <cdr:to>
      <cdr:x>0.44407</cdr:x>
      <cdr:y>0.77313</cdr:y>
    </cdr:to>
    <cdr:sp macro="" textlink="">
      <cdr:nvSpPr>
        <cdr:cNvPr id="13" name="TextBox 1">
          <a:extLst xmlns:a="http://schemas.openxmlformats.org/drawingml/2006/main">
            <a:ext uri="{FF2B5EF4-FFF2-40B4-BE49-F238E27FC236}">
              <a16:creationId xmlns:a16="http://schemas.microsoft.com/office/drawing/2014/main" id="{C817D5A5-8410-43E9-A4CA-91DDB1E6EC31}"/>
            </a:ext>
          </a:extLst>
        </cdr:cNvPr>
        <cdr:cNvSpPr txBox="1"/>
      </cdr:nvSpPr>
      <cdr:spPr>
        <a:xfrm xmlns:a="http://schemas.openxmlformats.org/drawingml/2006/main">
          <a:off x="1912069" y="2580313"/>
          <a:ext cx="369517"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ru-RU" sz="1100"/>
            <a:t>26</a:t>
          </a:r>
          <a:r>
            <a:rPr lang="en-US" sz="1100"/>
            <a:t>90</a:t>
          </a:r>
        </a:p>
        <a:p xmlns:a="http://schemas.openxmlformats.org/drawingml/2006/main">
          <a:pPr algn="l"/>
          <a:r>
            <a:rPr lang="en-US" sz="1100"/>
            <a:t>11 </a:t>
          </a:r>
          <a:r>
            <a:rPr lang="ru-RU" sz="1100"/>
            <a:t>гол.</a:t>
          </a:r>
          <a:endParaRPr lang="en-US" sz="1100"/>
        </a:p>
      </cdr:txBody>
    </cdr:sp>
  </cdr:relSizeAnchor>
  <cdr:relSizeAnchor xmlns:cdr="http://schemas.openxmlformats.org/drawingml/2006/chartDrawing">
    <cdr:from>
      <cdr:x>0.45592</cdr:x>
      <cdr:y>0.74397</cdr:y>
    </cdr:from>
    <cdr:to>
      <cdr:x>0.52784</cdr:x>
      <cdr:y>0.78701</cdr:y>
    </cdr:to>
    <cdr:sp macro="" textlink="">
      <cdr:nvSpPr>
        <cdr:cNvPr id="14" name="TextBox 1">
          <a:extLst xmlns:a="http://schemas.openxmlformats.org/drawingml/2006/main">
            <a:ext uri="{FF2B5EF4-FFF2-40B4-BE49-F238E27FC236}">
              <a16:creationId xmlns:a16="http://schemas.microsoft.com/office/drawing/2014/main" id="{E38D0977-9196-4192-AFC8-43566240A2D6}"/>
            </a:ext>
          </a:extLst>
        </cdr:cNvPr>
        <cdr:cNvSpPr txBox="1"/>
      </cdr:nvSpPr>
      <cdr:spPr>
        <a:xfrm xmlns:a="http://schemas.openxmlformats.org/drawingml/2006/main">
          <a:off x="2342464" y="2629393"/>
          <a:ext cx="369517"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ru-RU" sz="1100"/>
            <a:t>26</a:t>
          </a:r>
          <a:r>
            <a:rPr lang="en-US" sz="1100"/>
            <a:t>87</a:t>
          </a:r>
        </a:p>
        <a:p xmlns:a="http://schemas.openxmlformats.org/drawingml/2006/main">
          <a:pPr algn="l"/>
          <a:r>
            <a:rPr lang="en-US" sz="1100"/>
            <a:t>18 </a:t>
          </a:r>
          <a:r>
            <a:rPr lang="ru-RU" sz="1100"/>
            <a:t>гол.</a:t>
          </a:r>
          <a:endParaRPr lang="en-US" sz="1100"/>
        </a:p>
      </cdr:txBody>
    </cdr:sp>
  </cdr:relSizeAnchor>
  <cdr:relSizeAnchor xmlns:cdr="http://schemas.openxmlformats.org/drawingml/2006/chartDrawing">
    <cdr:from>
      <cdr:x>0.57349</cdr:x>
      <cdr:y>0.02612</cdr:y>
    </cdr:from>
    <cdr:to>
      <cdr:x>0.64541</cdr:x>
      <cdr:y>0.06916</cdr:y>
    </cdr:to>
    <cdr:sp macro="" textlink="">
      <cdr:nvSpPr>
        <cdr:cNvPr id="15" name="TextBox 1">
          <a:extLst xmlns:a="http://schemas.openxmlformats.org/drawingml/2006/main">
            <a:ext uri="{FF2B5EF4-FFF2-40B4-BE49-F238E27FC236}">
              <a16:creationId xmlns:a16="http://schemas.microsoft.com/office/drawing/2014/main" id="{E38D0977-9196-4192-AFC8-43566240A2D6}"/>
            </a:ext>
          </a:extLst>
        </cdr:cNvPr>
        <cdr:cNvSpPr txBox="1"/>
      </cdr:nvSpPr>
      <cdr:spPr>
        <a:xfrm xmlns:a="http://schemas.openxmlformats.org/drawingml/2006/main">
          <a:off x="2946526" y="92329"/>
          <a:ext cx="369517"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a:t>385 </a:t>
          </a:r>
          <a:r>
            <a:rPr lang="ru-RU" sz="1100"/>
            <a:t>гол.</a:t>
          </a:r>
          <a:endParaRPr lang="en-US" sz="1100"/>
        </a:p>
      </cdr:txBody>
    </cdr:sp>
  </cdr:relSizeAnchor>
  <cdr:relSizeAnchor xmlns:cdr="http://schemas.openxmlformats.org/drawingml/2006/chartDrawing">
    <cdr:from>
      <cdr:x>0.67269</cdr:x>
      <cdr:y>0.09663</cdr:y>
    </cdr:from>
    <cdr:to>
      <cdr:x>0.74461</cdr:x>
      <cdr:y>0.13967</cdr:y>
    </cdr:to>
    <cdr:sp macro="" textlink="">
      <cdr:nvSpPr>
        <cdr:cNvPr id="16" name="TextBox 1">
          <a:extLst xmlns:a="http://schemas.openxmlformats.org/drawingml/2006/main">
            <a:ext uri="{FF2B5EF4-FFF2-40B4-BE49-F238E27FC236}">
              <a16:creationId xmlns:a16="http://schemas.microsoft.com/office/drawing/2014/main" id="{E7877BBE-260C-4157-A78E-38144FD2A24B}"/>
            </a:ext>
          </a:extLst>
        </cdr:cNvPr>
        <cdr:cNvSpPr txBox="1"/>
      </cdr:nvSpPr>
      <cdr:spPr>
        <a:xfrm xmlns:a="http://schemas.openxmlformats.org/drawingml/2006/main">
          <a:off x="3456204" y="341505"/>
          <a:ext cx="369517" cy="1521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a:t>494 </a:t>
          </a:r>
          <a:r>
            <a:rPr lang="ru-RU" sz="1100"/>
            <a:t>гол.</a:t>
          </a:r>
          <a:endParaRPr lang="en-US" sz="11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9010</xdr:colOff>
      <xdr:row>9</xdr:row>
      <xdr:rowOff>179619</xdr:rowOff>
    </xdr:from>
    <xdr:to>
      <xdr:col>20</xdr:col>
      <xdr:colOff>303925</xdr:colOff>
      <xdr:row>47</xdr:row>
      <xdr:rowOff>134811</xdr:rowOff>
    </xdr:to>
    <xdr:graphicFrame macro="">
      <xdr:nvGraphicFramePr>
        <xdr:cNvPr id="2" name="Chart 1">
          <a:extLst>
            <a:ext uri="{FF2B5EF4-FFF2-40B4-BE49-F238E27FC236}">
              <a16:creationId xmlns:a16="http://schemas.microsoft.com/office/drawing/2014/main" id="{90C50DD0-282D-441B-BABE-0912FAB91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30</xdr:row>
      <xdr:rowOff>754</xdr:rowOff>
    </xdr:from>
    <xdr:to>
      <xdr:col>24</xdr:col>
      <xdr:colOff>369987</xdr:colOff>
      <xdr:row>35</xdr:row>
      <xdr:rowOff>30202</xdr:rowOff>
    </xdr:to>
    <mc:AlternateContent xmlns:mc="http://schemas.openxmlformats.org/markup-compatibility/2006" xmlns:sle15="http://schemas.microsoft.com/office/drawing/2012/slicer">
      <mc:Choice Requires="sle15">
        <xdr:graphicFrame macro="">
          <xdr:nvGraphicFramePr>
            <xdr:cNvPr id="3" name="КОИБ 1">
              <a:extLst>
                <a:ext uri="{FF2B5EF4-FFF2-40B4-BE49-F238E27FC236}">
                  <a16:creationId xmlns:a16="http://schemas.microsoft.com/office/drawing/2014/main" id="{B5E80511-BD08-4FA2-862A-FD1F5B2285A1}"/>
                </a:ext>
              </a:extLst>
            </xdr:cNvPr>
            <xdr:cNvGraphicFramePr/>
          </xdr:nvGraphicFramePr>
          <xdr:xfrm>
            <a:off x="0" y="0"/>
            <a:ext cx="0" cy="0"/>
          </xdr:xfrm>
          <a:graphic>
            <a:graphicData uri="http://schemas.microsoft.com/office/drawing/2010/slicer">
              <sle:slicer xmlns:sle="http://schemas.microsoft.com/office/drawing/2010/slicer" name="КОИБ 1"/>
            </a:graphicData>
          </a:graphic>
        </xdr:graphicFrame>
      </mc:Choice>
      <mc:Fallback xmlns="">
        <xdr:sp macro="" textlink="">
          <xdr:nvSpPr>
            <xdr:cNvPr id="0" name=""/>
            <xdr:cNvSpPr>
              <a:spLocks noTextEdit="1"/>
            </xdr:cNvSpPr>
          </xdr:nvSpPr>
          <xdr:spPr>
            <a:xfrm>
              <a:off x="10088183" y="5462488"/>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9010</xdr:colOff>
      <xdr:row>7</xdr:row>
      <xdr:rowOff>179619</xdr:rowOff>
    </xdr:from>
    <xdr:to>
      <xdr:col>20</xdr:col>
      <xdr:colOff>303925</xdr:colOff>
      <xdr:row>45</xdr:row>
      <xdr:rowOff>134811</xdr:rowOff>
    </xdr:to>
    <xdr:graphicFrame macro="">
      <xdr:nvGraphicFramePr>
        <xdr:cNvPr id="2" name="Chart 1">
          <a:extLst>
            <a:ext uri="{FF2B5EF4-FFF2-40B4-BE49-F238E27FC236}">
              <a16:creationId xmlns:a16="http://schemas.microsoft.com/office/drawing/2014/main" id="{717E5726-02F5-4D43-9F15-5753600EE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28</xdr:row>
      <xdr:rowOff>754</xdr:rowOff>
    </xdr:from>
    <xdr:to>
      <xdr:col>24</xdr:col>
      <xdr:colOff>369987</xdr:colOff>
      <xdr:row>33</xdr:row>
      <xdr:rowOff>30202</xdr:rowOff>
    </xdr:to>
    <mc:AlternateContent xmlns:mc="http://schemas.openxmlformats.org/markup-compatibility/2006" xmlns:sle15="http://schemas.microsoft.com/office/drawing/2012/slicer">
      <mc:Choice Requires="sle15">
        <xdr:graphicFrame macro="">
          <xdr:nvGraphicFramePr>
            <xdr:cNvPr id="3" name="КОИБ 3">
              <a:extLst>
                <a:ext uri="{FF2B5EF4-FFF2-40B4-BE49-F238E27FC236}">
                  <a16:creationId xmlns:a16="http://schemas.microsoft.com/office/drawing/2014/main" id="{C3CCAF9D-1892-4E3D-82AB-F2655917DC58}"/>
                </a:ext>
              </a:extLst>
            </xdr:cNvPr>
            <xdr:cNvGraphicFramePr/>
          </xdr:nvGraphicFramePr>
          <xdr:xfrm>
            <a:off x="0" y="0"/>
            <a:ext cx="0" cy="0"/>
          </xdr:xfrm>
          <a:graphic>
            <a:graphicData uri="http://schemas.microsoft.com/office/drawing/2010/slicer">
              <sle:slicer xmlns:sle="http://schemas.microsoft.com/office/drawing/2010/slicer" name="КОИБ 3"/>
            </a:graphicData>
          </a:graphic>
        </xdr:graphicFrame>
      </mc:Choice>
      <mc:Fallback xmlns="">
        <xdr:sp macro="" textlink="">
          <xdr:nvSpPr>
            <xdr:cNvPr id="0" name=""/>
            <xdr:cNvSpPr>
              <a:spLocks noTextEdit="1"/>
            </xdr:cNvSpPr>
          </xdr:nvSpPr>
          <xdr:spPr>
            <a:xfrm>
              <a:off x="10088183" y="5098373"/>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9010</xdr:colOff>
      <xdr:row>7</xdr:row>
      <xdr:rowOff>179619</xdr:rowOff>
    </xdr:from>
    <xdr:to>
      <xdr:col>20</xdr:col>
      <xdr:colOff>303925</xdr:colOff>
      <xdr:row>45</xdr:row>
      <xdr:rowOff>134811</xdr:rowOff>
    </xdr:to>
    <xdr:graphicFrame macro="">
      <xdr:nvGraphicFramePr>
        <xdr:cNvPr id="2" name="Chart 1">
          <a:extLst>
            <a:ext uri="{FF2B5EF4-FFF2-40B4-BE49-F238E27FC236}">
              <a16:creationId xmlns:a16="http://schemas.microsoft.com/office/drawing/2014/main" id="{A9117548-8F73-43BD-BBCF-46B37DD7F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28</xdr:row>
      <xdr:rowOff>754</xdr:rowOff>
    </xdr:from>
    <xdr:to>
      <xdr:col>24</xdr:col>
      <xdr:colOff>369987</xdr:colOff>
      <xdr:row>33</xdr:row>
      <xdr:rowOff>30202</xdr:rowOff>
    </xdr:to>
    <mc:AlternateContent xmlns:mc="http://schemas.openxmlformats.org/markup-compatibility/2006" xmlns:sle15="http://schemas.microsoft.com/office/drawing/2012/slicer">
      <mc:Choice Requires="sle15">
        <xdr:graphicFrame macro="">
          <xdr:nvGraphicFramePr>
            <xdr:cNvPr id="3" name="КОИБ 4">
              <a:extLst>
                <a:ext uri="{FF2B5EF4-FFF2-40B4-BE49-F238E27FC236}">
                  <a16:creationId xmlns:a16="http://schemas.microsoft.com/office/drawing/2014/main" id="{CC47D84C-41EE-4AD0-85B1-133202F19F86}"/>
                </a:ext>
              </a:extLst>
            </xdr:cNvPr>
            <xdr:cNvGraphicFramePr/>
          </xdr:nvGraphicFramePr>
          <xdr:xfrm>
            <a:off x="0" y="0"/>
            <a:ext cx="0" cy="0"/>
          </xdr:xfrm>
          <a:graphic>
            <a:graphicData uri="http://schemas.microsoft.com/office/drawing/2010/slicer">
              <sle:slicer xmlns:sle="http://schemas.microsoft.com/office/drawing/2010/slicer" name="КОИБ 4"/>
            </a:graphicData>
          </a:graphic>
        </xdr:graphicFrame>
      </mc:Choice>
      <mc:Fallback xmlns="">
        <xdr:sp macro="" textlink="">
          <xdr:nvSpPr>
            <xdr:cNvPr id="0" name=""/>
            <xdr:cNvSpPr>
              <a:spLocks noTextEdit="1"/>
            </xdr:cNvSpPr>
          </xdr:nvSpPr>
          <xdr:spPr>
            <a:xfrm>
              <a:off x="10088183" y="5098373"/>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9010</xdr:colOff>
      <xdr:row>6</xdr:row>
      <xdr:rowOff>179619</xdr:rowOff>
    </xdr:from>
    <xdr:to>
      <xdr:col>20</xdr:col>
      <xdr:colOff>303925</xdr:colOff>
      <xdr:row>44</xdr:row>
      <xdr:rowOff>134812</xdr:rowOff>
    </xdr:to>
    <xdr:graphicFrame macro="">
      <xdr:nvGraphicFramePr>
        <xdr:cNvPr id="2" name="Chart 1">
          <a:extLst>
            <a:ext uri="{FF2B5EF4-FFF2-40B4-BE49-F238E27FC236}">
              <a16:creationId xmlns:a16="http://schemas.microsoft.com/office/drawing/2014/main" id="{9196580B-469C-46D7-BF6D-DD45B4905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27</xdr:row>
      <xdr:rowOff>754</xdr:rowOff>
    </xdr:from>
    <xdr:to>
      <xdr:col>24</xdr:col>
      <xdr:colOff>369987</xdr:colOff>
      <xdr:row>32</xdr:row>
      <xdr:rowOff>30202</xdr:rowOff>
    </xdr:to>
    <mc:AlternateContent xmlns:mc="http://schemas.openxmlformats.org/markup-compatibility/2006" xmlns:sle15="http://schemas.microsoft.com/office/drawing/2012/slicer">
      <mc:Choice Requires="sle15">
        <xdr:graphicFrame macro="">
          <xdr:nvGraphicFramePr>
            <xdr:cNvPr id="3" name="КОИБ 2">
              <a:extLst>
                <a:ext uri="{FF2B5EF4-FFF2-40B4-BE49-F238E27FC236}">
                  <a16:creationId xmlns:a16="http://schemas.microsoft.com/office/drawing/2014/main" id="{3D1A9923-84BD-47BB-9640-401C0F86ADFA}"/>
                </a:ext>
              </a:extLst>
            </xdr:cNvPr>
            <xdr:cNvGraphicFramePr/>
          </xdr:nvGraphicFramePr>
          <xdr:xfrm>
            <a:off x="0" y="0"/>
            <a:ext cx="0" cy="0"/>
          </xdr:xfrm>
          <a:graphic>
            <a:graphicData uri="http://schemas.microsoft.com/office/drawing/2010/slicer">
              <sle:slicer xmlns:sle="http://schemas.microsoft.com/office/drawing/2010/slicer" name="КОИБ 2"/>
            </a:graphicData>
          </a:graphic>
        </xdr:graphicFrame>
      </mc:Choice>
      <mc:Fallback xmlns="">
        <xdr:sp macro="" textlink="">
          <xdr:nvSpPr>
            <xdr:cNvPr id="0" name=""/>
            <xdr:cNvSpPr>
              <a:spLocks noTextEdit="1"/>
            </xdr:cNvSpPr>
          </xdr:nvSpPr>
          <xdr:spPr>
            <a:xfrm>
              <a:off x="10088183" y="4916315"/>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8.xml><?xml version="1.0" encoding="utf-8"?>
<c:userShapes xmlns:c="http://schemas.openxmlformats.org/drawingml/2006/chart">
  <cdr:relSizeAnchor xmlns:cdr="http://schemas.openxmlformats.org/drawingml/2006/chartDrawing">
    <cdr:from>
      <cdr:x>0.29728</cdr:x>
      <cdr:y>0.25465</cdr:y>
    </cdr:from>
    <cdr:to>
      <cdr:x>0.3692</cdr:x>
      <cdr:y>0.29769</cdr:y>
    </cdr:to>
    <cdr:sp macro="" textlink="">
      <cdr:nvSpPr>
        <cdr:cNvPr id="2" name="TextBox 1">
          <a:extLst xmlns:a="http://schemas.openxmlformats.org/drawingml/2006/main">
            <a:ext uri="{FF2B5EF4-FFF2-40B4-BE49-F238E27FC236}">
              <a16:creationId xmlns:a16="http://schemas.microsoft.com/office/drawing/2014/main" id="{5FCBC543-4A51-4656-8CCF-BB11DF164FD3}"/>
            </a:ext>
          </a:extLst>
        </cdr:cNvPr>
        <cdr:cNvSpPr txBox="1"/>
      </cdr:nvSpPr>
      <cdr:spPr>
        <a:xfrm xmlns:a="http://schemas.openxmlformats.org/drawingml/2006/main">
          <a:off x="2965403" y="1742176"/>
          <a:ext cx="717325" cy="29448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ru-RU" sz="1100"/>
            <a:t>2685 Руза</a:t>
          </a:r>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9010</xdr:colOff>
      <xdr:row>7</xdr:row>
      <xdr:rowOff>179619</xdr:rowOff>
    </xdr:from>
    <xdr:to>
      <xdr:col>20</xdr:col>
      <xdr:colOff>303925</xdr:colOff>
      <xdr:row>45</xdr:row>
      <xdr:rowOff>134811</xdr:rowOff>
    </xdr:to>
    <xdr:graphicFrame macro="">
      <xdr:nvGraphicFramePr>
        <xdr:cNvPr id="2" name="Chart 1">
          <a:extLst>
            <a:ext uri="{FF2B5EF4-FFF2-40B4-BE49-F238E27FC236}">
              <a16:creationId xmlns:a16="http://schemas.microsoft.com/office/drawing/2014/main" id="{67527072-28DC-4068-8080-79DE42BF9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4530</xdr:colOff>
      <xdr:row>28</xdr:row>
      <xdr:rowOff>754</xdr:rowOff>
    </xdr:from>
    <xdr:to>
      <xdr:col>24</xdr:col>
      <xdr:colOff>369987</xdr:colOff>
      <xdr:row>33</xdr:row>
      <xdr:rowOff>30202</xdr:rowOff>
    </xdr:to>
    <mc:AlternateContent xmlns:mc="http://schemas.openxmlformats.org/markup-compatibility/2006" xmlns:sle15="http://schemas.microsoft.com/office/drawing/2012/slicer">
      <mc:Choice Requires="sle15">
        <xdr:graphicFrame macro="">
          <xdr:nvGraphicFramePr>
            <xdr:cNvPr id="3" name="КОИБ 5">
              <a:extLst>
                <a:ext uri="{FF2B5EF4-FFF2-40B4-BE49-F238E27FC236}">
                  <a16:creationId xmlns:a16="http://schemas.microsoft.com/office/drawing/2014/main" id="{CDC1B6B4-A7E4-4EA6-8E63-F75C3D4E38D4}"/>
                </a:ext>
              </a:extLst>
            </xdr:cNvPr>
            <xdr:cNvGraphicFramePr/>
          </xdr:nvGraphicFramePr>
          <xdr:xfrm>
            <a:off x="0" y="0"/>
            <a:ext cx="0" cy="0"/>
          </xdr:xfrm>
          <a:graphic>
            <a:graphicData uri="http://schemas.microsoft.com/office/drawing/2010/slicer">
              <sle:slicer xmlns:sle="http://schemas.microsoft.com/office/drawing/2010/slicer" name="КОИБ 5"/>
            </a:graphicData>
          </a:graphic>
        </xdr:graphicFrame>
      </mc:Choice>
      <mc:Fallback xmlns="">
        <xdr:sp macro="" textlink="">
          <xdr:nvSpPr>
            <xdr:cNvPr id="0" name=""/>
            <xdr:cNvSpPr>
              <a:spLocks noTextEdit="1"/>
            </xdr:cNvSpPr>
          </xdr:nvSpPr>
          <xdr:spPr>
            <a:xfrm>
              <a:off x="10088183" y="5098373"/>
              <a:ext cx="1651607" cy="93973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1" xr10:uid="{CD0BCFD4-EE96-4DB0-86DE-4B1C62DF1A50}" sourceName="КОИБ">
  <extLst>
    <x:ext xmlns:x15="http://schemas.microsoft.com/office/spreadsheetml/2010/11/main" uri="{2F2917AC-EB37-4324-AD4E-5DD8C200BD13}">
      <x15:tableSlicerCache tableId="3" column="60"/>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 xr10:uid="{1EA62F78-E676-41DB-9EF2-0A841C921AC6}" sourceName="КОИБ">
  <extLst>
    <x:ext xmlns:x15="http://schemas.microsoft.com/office/spreadsheetml/2010/11/main" uri="{2F2917AC-EB37-4324-AD4E-5DD8C200BD13}">
      <x15:tableSlicerCache tableId="2" column="60"/>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 xr10:uid="{C5FB57C9-08B4-4874-97A4-3678BA254CE1}" sourceName="КОИБ">
  <extLst>
    <x:ext xmlns:x15="http://schemas.microsoft.com/office/spreadsheetml/2010/11/main" uri="{2F2917AC-EB37-4324-AD4E-5DD8C200BD13}">
      <x15:tableSlicerCache tableId="1" column="60"/>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11" xr10:uid="{C591C8E4-D45F-4CBB-89F9-6B7FCE148378}" sourceName="КОИБ">
  <extLst>
    <x:ext xmlns:x15="http://schemas.microsoft.com/office/spreadsheetml/2010/11/main" uri="{2F2917AC-EB37-4324-AD4E-5DD8C200BD13}">
      <x15:tableSlicerCache tableId="4" column="6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12" xr10:uid="{DFDBC496-D49C-4E63-BD06-096BF857D767}" sourceName="КОИБ">
  <extLst>
    <x:ext xmlns:x15="http://schemas.microsoft.com/office/spreadsheetml/2010/11/main" uri="{2F2917AC-EB37-4324-AD4E-5DD8C200BD13}">
      <x15:tableSlicerCache tableId="6" column="60"/>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13" xr10:uid="{F5579D5C-96EE-44FC-9ADF-B796C397D31F}" sourceName="КОИБ">
  <extLst>
    <x:ext xmlns:x15="http://schemas.microsoft.com/office/spreadsheetml/2010/11/main" uri="{2F2917AC-EB37-4324-AD4E-5DD8C200BD13}">
      <x15:tableSlicerCache tableId="7" column="60"/>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14" xr10:uid="{87767E19-A226-42E0-B8F6-AA62382EC3C8}" sourceName="КОИБ">
  <extLst>
    <x:ext xmlns:x15="http://schemas.microsoft.com/office/spreadsheetml/2010/11/main" uri="{2F2917AC-EB37-4324-AD4E-5DD8C200BD13}">
      <x15:tableSlicerCache tableId="8" column="60"/>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15" xr10:uid="{18B4859D-81FB-4DC2-B0F9-BDE1441B847D}" sourceName="КОИБ">
  <extLst>
    <x:ext xmlns:x15="http://schemas.microsoft.com/office/spreadsheetml/2010/11/main" uri="{2F2917AC-EB37-4324-AD4E-5DD8C200BD13}">
      <x15:tableSlicerCache tableId="9" column="60"/>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16" xr10:uid="{B7F20D63-44F2-4CCD-B7B3-2FF4D24212C3}" sourceName="КОИБ">
  <extLst>
    <x:ext xmlns:x15="http://schemas.microsoft.com/office/spreadsheetml/2010/11/main" uri="{2F2917AC-EB37-4324-AD4E-5DD8C200BD13}">
      <x15:tableSlicerCache tableId="10" column="60"/>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17" xr10:uid="{C0F23D12-0AAE-4627-B181-3E44839B059D}" sourceName="КОИБ">
  <extLst>
    <x:ext xmlns:x15="http://schemas.microsoft.com/office/spreadsheetml/2010/11/main" uri="{2F2917AC-EB37-4324-AD4E-5DD8C200BD13}">
      <x15:tableSlicerCache tableId="11" column="60"/>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КОИБ118" xr10:uid="{7200E42F-FE75-4FD3-A7EF-E3B35F951DB1}" sourceName="КОИБ">
  <extLst>
    <x:ext xmlns:x15="http://schemas.microsoft.com/office/spreadsheetml/2010/11/main" uri="{2F2917AC-EB37-4324-AD4E-5DD8C200BD13}">
      <x15:tableSlicerCache tableId="12" column="60"/>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xr10:uid="{303531FF-28CF-46D3-9920-C1CD0969D70C}" cache="Slicer_КОИБ" caption="КОИБ" rowHeight="239281"/>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9" xr10:uid="{14D1ECAD-DC09-4E0D-A0E7-2C6943A357C1}" cache="Slicer_КОИБ117" caption="КОИБ" rowHeight="239281"/>
</slicers>
</file>

<file path=xl/slicers/slicer1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10" xr10:uid="{0502C6B1-3535-4DF7-8183-BCD330BF5DD0}" cache="Slicer_КОИБ118" caption="КОИБ" rowHeight="239281"/>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1" xr10:uid="{140DEE45-D90D-44B1-A105-AB3EC1FB1916}" cache="Slicer_КОИБ1" caption="КОИБ" rowHeight="239281"/>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3" xr10:uid="{29939E9B-1942-48DD-B1BC-208B7C25A96F}" cache="Slicer_КОИБ111" caption="КОИБ" rowHeight="239281"/>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4" xr10:uid="{AA423066-DF77-4B6D-8DC1-0DA3000C44AC}" cache="Slicer_КОИБ112" caption="КОИБ" rowHeight="239281"/>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2" xr10:uid="{D4168179-44FE-4B8D-AB01-4371D6CC9D05}" cache="Slicer_КОИБ11" caption="КОИБ" rowHeight="239281"/>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5" xr10:uid="{2A705FDC-CD8E-4BF5-862B-DAFA2DEAC10D}" cache="Slicer_КОИБ113" caption="КОИБ" rowHeight="239281"/>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6" xr10:uid="{03DDBAF0-15B7-4C64-BE9F-3E5DA27D5A30}" cache="Slicer_КОИБ114" caption="КОИБ" rowHeight="239281"/>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7" xr10:uid="{D4B38F1E-854B-4FE3-98CD-F407579C32F5}" cache="Slicer_КОИБ115" caption="КОИБ" rowHeight="239281"/>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КОИБ 8" xr10:uid="{65A7C6F3-F90D-479D-AC50-0B70751C87BF}" cache="Slicer_КОИБ116" caption="КОИБ" rowHeight="239281"/>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65194-A83C-43D5-8B4D-02458167851C}" name="Дума_партии" displayName="Дума_партии" ref="A1:AO41" totalsRowCount="1" headerRowDxfId="835" dataDxfId="834" totalsRowDxfId="833">
  <autoFilter ref="A1:AO40" xr:uid="{05856A0A-FAEC-4712-B32A-2BDAF6280669}"/>
  <tableColumns count="41">
    <tableColumn id="5" xr3:uid="{2A6050EF-5C81-4FFB-AEE7-460AE14D79B2}" name="ОИК" dataDxfId="832" totalsRowDxfId="831"/>
    <tableColumn id="53" xr3:uid="{1E4D688C-F53F-4EC9-8F6F-84DF7B6A0BA4}" name="УИК" totalsRowFunction="count" dataDxfId="830" totalsRowDxfId="829">
      <calculatedColumnFormula>SUMPRODUCT(MID(0&amp;A2, LARGE(INDEX(ISNUMBER(--MID(A2, ROW(INDIRECT("1:"&amp;LEN(A2))), 1)) * ROW(INDIRECT("1:"&amp;LEN(A2))), 0), ROW(INDIRECT("1:"&amp;LEN(A2))))+1, 1) * 10^ROW(INDIRECT("1:"&amp;LEN(A2)))/10)</calculatedColumnFormula>
    </tableColumn>
    <tableColumn id="54" xr3:uid="{E46467DB-4F1C-4895-B50E-5ED1322971CC}" name="Местоположение" dataDxfId="828" totalsRowDxfId="827"/>
    <tableColumn id="55" xr3:uid="{3EFF82BE-B255-4E37-9F4B-45233E8F5A25}" name="Число избирателей, внесенных в список избирателей на момент окончания голосования" totalsRowFunction="sum" dataDxfId="826" totalsRowDxfId="825"/>
    <tableColumn id="6" xr3:uid="{E8018E0B-44FB-4536-AE01-4E4AE57DA0C0}" name="Вес участка" dataDxfId="824" totalsRowDxfId="823">
      <calculatedColumnFormula>D2</calculatedColumnFormula>
    </tableColumn>
    <tableColumn id="7" xr3:uid="{DEAF36C3-1D98-466F-B462-D38B34D5985D}" name="Число бюллетеней, полученных участковой избирательной комиссией" totalsRowFunction="sum" dataDxfId="822" totalsRowDxfId="821"/>
    <tableColumn id="8" xr3:uid="{473E6BA2-DC2E-4C3E-A4DA-2650C83B3236}" name="Число бюллетеней, выданных избирателям, проголосовавшим досрочно в помещении избирательной комиссии муниципального образования" totalsRowFunction="sum" dataDxfId="820" totalsRowDxfId="819"/>
    <tableColumn id="9" xr3:uid="{610FC870-2A77-4709-9203-B06CB1C29131}" name="Число избирательных бюллетеней, выданных в помещении для голосования в день голосования" totalsRowFunction="sum" totalsRowDxfId="818"/>
    <tableColumn id="10" xr3:uid="{8C282686-E0C9-462C-82E3-361A45929242}" name="Число бюллетеней, выданных избирателям, проголосовавшим вне помещения для голосования в день голосования" totalsRowFunction="sum" dataDxfId="817" totalsRowDxfId="816"/>
    <tableColumn id="11" xr3:uid="{8CE6412A-754E-4869-AFFF-D56A889AF343}" name="Явка" dataDxfId="815" totalsRowDxfId="814">
      <calculatedColumnFormula>100*(H2+I2)/D2</calculatedColumnFormula>
    </tableColumn>
    <tableColumn id="12" xr3:uid="{C733E203-3629-4E30-A430-07DD4D570089}" name="Надомка от списка" dataDxfId="813" totalsRowDxfId="812">
      <calculatedColumnFormula>100*I2/D2</calculatedColumnFormula>
    </tableColumn>
    <tableColumn id="13" xr3:uid="{091465D6-60C4-4F11-A31C-BB37E3251321}" name="Число погашенных бюллетеней" totalsRowFunction="sum" dataDxfId="811" totalsRowDxfId="810"/>
    <tableColumn id="14" xr3:uid="{A9DB7673-8EA2-420D-AED4-162858654386}" name="Число бюллетеней, содержащихся в переносных ящиках для голосования" totalsRowFunction="sum" dataDxfId="809" totalsRowDxfId="808"/>
    <tableColumn id="15" xr3:uid="{E5553EB8-F322-45A5-BE51-163147742ED9}" name="Число бюллетеней, содержащихся в стационарных ящиках для голосования" totalsRowFunction="sum" dataDxfId="807" totalsRowDxfId="806"/>
    <tableColumn id="16" xr3:uid="{946FC9F2-5450-4932-9EA6-5BED8B9846C5}" name="Обнаружено" totalsRowFunction="sum" dataDxfId="805" totalsRowDxfId="804">
      <calculatedColumnFormula>M2+N2</calculatedColumnFormula>
    </tableColumn>
    <tableColumn id="17" xr3:uid="{3CD0319C-2995-4B3A-A0C9-5BE7DC962C4B}" name="Надомка" dataDxfId="803" totalsRowDxfId="802">
      <calculatedColumnFormula>100*M2/O2</calculatedColumnFormula>
    </tableColumn>
    <tableColumn id="18" xr3:uid="{2505FD43-989D-45F6-B197-7F088BF8D271}" name="Число недействительных бюллетеней" totalsRowFunction="sum" dataDxfId="801" totalsRowDxfId="800"/>
    <tableColumn id="19" xr3:uid="{73E6E3E4-A8B9-4949-BDDE-E37B3537B4B1}" name="Недействительных" dataDxfId="799" totalsRowDxfId="798">
      <calculatedColumnFormula>100*Q2/O2</calculatedColumnFormula>
    </tableColumn>
    <tableColumn id="20" xr3:uid="{42695399-8C01-4685-8869-201F7E9A8D97}" name="Число действительных бюллетеней" totalsRowFunction="sum" dataDxfId="797" totalsRowDxfId="796"/>
    <tableColumn id="21" xr3:uid="{0F179EB1-AA63-42B2-BD99-F58FA8E4286E}" name="Число утраченных бюллетеней" totalsRowFunction="sum" dataDxfId="795" totalsRowDxfId="794"/>
    <tableColumn id="22" xr3:uid="{F469BE7C-D4A3-4B79-AD56-2B1D633814C2}" name="Число бюллетеней, не учтенных при получении" totalsRowFunction="sum" dataDxfId="793" totalsRowDxfId="792"/>
    <tableColumn id="23" xr3:uid="{1DB4698B-D1A5-4BC3-B9B7-9269EF41A2BC}" name="1. Политическая партия КОММУНИСТИЧЕСКАЯ ПАРТИЯ КОММУНИСТЫ РОССИИ" totalsRowFunction="sum" totalsRowDxfId="791"/>
    <tableColumn id="24" xr3:uid="{6F17FF05-4A4E-4BF3-9C93-F915A524BB09}" name="Коммунисты России" dataDxfId="790" totalsRowDxfId="789">
      <calculatedColumnFormula>100*V2/$O2</calculatedColumnFormula>
    </tableColumn>
    <tableColumn id="25" xr3:uid="{A8714783-B71E-4699-BD98-05D3C784C646}" name="2. Всероссийская политическая партия &quot;ЕДИНАЯ РОССИЯ&quot;" totalsRowFunction="sum" dataDxfId="788" totalsRowDxfId="787"/>
    <tableColumn id="26" xr3:uid="{F1B45DAF-A9C6-4940-9EF0-370C7BEC1DA8}" name="Единая Россия" dataDxfId="786" totalsRowDxfId="785">
      <calculatedColumnFormula>100*X2/$O2</calculatedColumnFormula>
    </tableColumn>
    <tableColumn id="27" xr3:uid="{D1F0CD18-6504-4AE5-B550-912A53C46B6A}" name="3. ПАРТИЯ ПЕНСИОНЕРОВ" totalsRowFunction="sum" dataDxfId="784" totalsRowDxfId="783"/>
    <tableColumn id="28" xr3:uid="{5388319A-02C1-4647-B501-12C52976F649}" name="Пенсионеров" dataDxfId="782" totalsRowDxfId="781">
      <calculatedColumnFormula>100*Z2/$O2</calculatedColumnFormula>
    </tableColumn>
    <tableColumn id="29" xr3:uid="{B79C44B7-2AD8-4A9B-8AE7-48BF53DB4EB4}" name="4. Политическая партия ЛДПР – Либерально-демократическая партия России" totalsRowFunction="sum" dataDxfId="780" totalsRowDxfId="779"/>
    <tableColumn id="30" xr3:uid="{DE3444C3-02D6-4B65-A78F-0F582A5CCD05}" name="ЛДПР" dataDxfId="778" totalsRowDxfId="777">
      <calculatedColumnFormula>100*AB2/$O2</calculatedColumnFormula>
    </tableColumn>
    <tableColumn id="31" xr3:uid="{D9D7319A-2E09-48CF-A7FD-BB31187023D6}" name="5. Политическая партия &quot;НОВЫЕ ЛЮДИ&quot;" totalsRowFunction="sum" dataDxfId="776" totalsRowDxfId="775"/>
    <tableColumn id="32" xr3:uid="{813A2C10-9F6C-4F11-93C6-B89C76AEC73E}" name="Новые люди" dataDxfId="774" totalsRowDxfId="773">
      <calculatedColumnFormula>100*AD2/$O2</calculatedColumnFormula>
    </tableColumn>
    <tableColumn id="33" xr3:uid="{DDE51049-69B0-4148-AB15-23A816125A8C}" name="6. Партия СПРАВЕДЛИВАЯ РОССИЯ – ЗА ПРАВДУ" totalsRowFunction="sum" dataDxfId="772" totalsRowDxfId="771"/>
    <tableColumn id="34" xr3:uid="{3E2B0A7C-428E-4273-9324-D0476684866E}" name="СР" dataDxfId="770" totalsRowDxfId="769">
      <calculatedColumnFormula>100*AF2/$O2</calculatedColumnFormula>
    </tableColumn>
    <tableColumn id="35" xr3:uid="{9DB9EDA7-7607-4D65-83D3-1DEEADC3C9A3}" name="7. ВСЕРОССИЙСКАЯ ПОЛИТИЧЕСКАЯ ПАРТИЯ &quot;РОДИНА&quot;" totalsRowFunction="sum" dataDxfId="768" totalsRowDxfId="767"/>
    <tableColumn id="36" xr3:uid="{9BB90D12-E0B2-4ABB-86BB-77665E464CD0}" name="Родина" dataDxfId="766" totalsRowDxfId="765">
      <calculatedColumnFormula>100*AH2/$O2</calculatedColumnFormula>
    </tableColumn>
    <tableColumn id="60" xr3:uid="{63BEF7CF-0C5E-4A07-A509-A74E728C7EEF}" name="КОИБ" totalsRowFunction="countNums" totalsRowDxfId="764"/>
    <tableColumn id="52" xr3:uid="{724FC44D-6DA6-4C90-8E8F-2DABF0307E7F}" name="Наблюдателей" totalsRowFunction="countNums" dataDxfId="763" totalsRowDxfId="762"/>
    <tableColumn id="1" xr3:uid="{D757260D-19CA-42A3-B572-44DF2BD918E8}" name="Качество наблюдения" dataDxfId="761" totalsRowDxfId="760"/>
    <tableColumn id="56" xr3:uid="{32A81778-ADCA-4674-BC2A-C885C13FF293}" name="Вброс" totalsRowFunction="sum" dataDxfId="759" totalsRowDxfId="758">
      <calculatedColumnFormula>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calculatedColumnFormula>
    </tableColumn>
    <tableColumn id="57" xr3:uid="{FE8C5CDC-2D42-4D31-8616-4E8385D52995}" name="Перекладывание" totalsRowFunction="sum" dataDxfId="757" totalsRowDxfId="756">
      <calculatedColumnFormula>2*(Дума_партии[[#This Row],[2. Всероссийская политическая партия "ЕДИНАЯ РОССИЯ"]]-(W$75/100)*Дума_партии[[#This Row],[Число действительных бюллетеней]])</calculatedColumnFormula>
    </tableColumn>
    <tableColumn id="58" xr3:uid="{A9016490-9423-4DA0-992E-124FEDE88C2D}" name="Оценка числа бюллетеней, сфальсифицированных в пользу ЕР" totalsRowFunction="sum" dataDxfId="755" totalsRowDxfId="754">
      <calculatedColumnFormula>(Дума_партии[[#This Row],[Вброс]]+Дума_партии[[#This Row],[Перекладывание]])/2</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C3E345B-3D3F-44FA-93EA-8DD1DD557711}" name="Дума_партии3412" displayName="Дума_партии3412" ref="A1:AL6" totalsRowCount="1" headerRowDxfId="151" dataDxfId="150" totalsRowDxfId="149">
  <autoFilter ref="A1:AL5" xr:uid="{05856A0A-FAEC-4712-B32A-2BDAF6280669}"/>
  <tableColumns count="38">
    <tableColumn id="5" xr3:uid="{955D4279-DFC9-44D5-ADD9-8B8923DF9BC6}" name="ОИК" dataDxfId="148" totalsRowDxfId="147"/>
    <tableColumn id="53" xr3:uid="{E9525453-DF01-4364-BA77-B470B077FF76}" name="УИК" totalsRowFunction="count" dataDxfId="146" totalsRowDxfId="145"/>
    <tableColumn id="54" xr3:uid="{9CA5DCCF-0C9E-458C-BB30-0C5EC0DFF00C}" name="Местоположение" dataDxfId="144" totalsRowDxfId="143"/>
    <tableColumn id="55" xr3:uid="{B011AB1B-BF43-4010-A112-2E62E9D1842D}" name="Число избирателей, внесенных в список на момент окончания голосования" totalsRowFunction="sum" dataDxfId="142" totalsRowDxfId="141"/>
    <tableColumn id="6" xr3:uid="{8497AEDC-236F-4163-A5A7-24AA2F27F600}" name="Вес участка" dataDxfId="140" totalsRowDxfId="139">
      <calculatedColumnFormula>D2</calculatedColumnFormula>
    </tableColumn>
    <tableColumn id="7" xr3:uid="{BBC9EB69-AD5E-47F9-AC6D-0765146793E3}" name="Число бюллетеней, полученных участковой избирательной комиссией" totalsRowFunction="sum" dataDxfId="138" totalsRowDxfId="137"/>
    <tableColumn id="8" xr3:uid="{14656AFE-66F5-4D91-A96D-51AB68A6D2DC}" name="Число бюллетеней, выданных избирателям, проголосовавшим досрочно в помещении территориальной избирательной комиссии" totalsRowFunction="sum" dataDxfId="136" totalsRowDxfId="135"/>
    <tableColumn id="9" xr3:uid="{A8A68CCA-C6EA-4922-9015-523BBC089F0F}" name="Число бюллетеней, выданных избирателям, в помещении для голосования в день голосования" totalsRowFunction="sum" dataDxfId="134" totalsRowDxfId="133"/>
    <tableColumn id="10" xr3:uid="{83B4FF29-A554-4B3E-8131-1018F588ECBF}" name="Число бюллетеней, выданных избирателям, проголосовавшим вне помещения для голосования в день голосования" totalsRowFunction="sum" dataDxfId="132" totalsRowDxfId="131"/>
    <tableColumn id="11" xr3:uid="{71F54D01-8C3C-4E53-9FA0-8639F958C66C}" name="Явка" dataDxfId="130" totalsRowDxfId="129">
      <calculatedColumnFormula>100*(H2+I2)/D2</calculatedColumnFormula>
    </tableColumn>
    <tableColumn id="12" xr3:uid="{DC8E01D3-E4B1-43A6-8E2B-213AAE131D6F}" name="Надомка от списка" dataDxfId="128" totalsRowDxfId="127">
      <calculatedColumnFormula>100*I2/D2</calculatedColumnFormula>
    </tableColumn>
    <tableColumn id="13" xr3:uid="{77B77370-9CA3-42A3-8FAC-BF98BE069DF9}" name="Число погашенных бюллетеней" totalsRowFunction="sum" dataDxfId="126" totalsRowDxfId="125"/>
    <tableColumn id="14" xr3:uid="{9BEDEEF3-A8CB-4416-A522-DB99C7F7C5A9}" name="Число бюллетеней, содержащихся в переносных ящиках для голосования" totalsRowFunction="sum" dataDxfId="124" totalsRowDxfId="123"/>
    <tableColumn id="15" xr3:uid="{2278B250-1FBE-4E49-94FD-A874F903B435}" name="Число бюллетеней, содержащихся в стационарных ящиках для голосования" totalsRowFunction="sum" dataDxfId="122" totalsRowDxfId="121"/>
    <tableColumn id="16" xr3:uid="{04F9138A-D885-4BBC-947D-8327CE1568F5}" name="Обнаружено" totalsRowFunction="sum" dataDxfId="120" totalsRowDxfId="119">
      <calculatedColumnFormula>M2+N2</calculatedColumnFormula>
    </tableColumn>
    <tableColumn id="17" xr3:uid="{5E30C205-DDC8-4BF1-8410-552E25FDCF0D}" name="Надомка" dataDxfId="118" totalsRowDxfId="117">
      <calculatedColumnFormula>100*M2/O2</calculatedColumnFormula>
    </tableColumn>
    <tableColumn id="18" xr3:uid="{FE0F29DE-7622-46F5-8E03-CCB01B08A77B}" name="Число недействительных бюллетеней" totalsRowFunction="sum" dataDxfId="116" totalsRowDxfId="115"/>
    <tableColumn id="19" xr3:uid="{C5DD1FAA-C3BF-4238-8679-10BB09E28172}" name="Недействительных" dataDxfId="114" totalsRowDxfId="113">
      <calculatedColumnFormula>100*Q2/O2</calculatedColumnFormula>
    </tableColumn>
    <tableColumn id="20" xr3:uid="{60E03B4B-73F6-4216-9E82-4E2F1BF8484E}" name="Число действительных бюллетеней" totalsRowFunction="sum" dataDxfId="112" totalsRowDxfId="111"/>
    <tableColumn id="21" xr3:uid="{80D4E335-5A0A-43C7-96A9-DFF1EF8DEEC9}" name="Число утраченных бюллетеней" totalsRowFunction="sum" dataDxfId="110" totalsRowDxfId="109"/>
    <tableColumn id="22" xr3:uid="{EC65C2E4-3ED7-4C90-9BB7-8DC860F78BFB}" name="Число бюллетеней, не учтенных при получении" totalsRowFunction="sum" dataDxfId="108" totalsRowDxfId="107"/>
    <tableColumn id="23" xr3:uid="{6E401CF9-7476-4E01-8B10-B1AA1D69B55D}" name="Быковская Ольга Сергеевна" totalsRowFunction="sum" dataDxfId="106" totalsRowDxfId="105"/>
    <tableColumn id="24" xr3:uid="{85439256-355C-4785-A951-0DDAB1C5A03D}" name="Быковская (Родина)" dataDxfId="104" totalsRowDxfId="103">
      <calculatedColumnFormula>100*V2/$O2</calculatedColumnFormula>
    </tableColumn>
    <tableColumn id="25" xr3:uid="{9340B8FF-72B7-4A9B-8853-3E18BE25CA7D}" name="Егорова Олеся Владимировна" totalsRowFunction="sum" dataDxfId="102" totalsRowDxfId="101"/>
    <tableColumn id="26" xr3:uid="{D3F37A6D-8CB1-4097-9083-7223159B3BFA}" name="Егорова" dataDxfId="100" totalsRowDxfId="99">
      <calculatedColumnFormula>100*X2/$O2</calculatedColumnFormula>
    </tableColumn>
    <tableColumn id="27" xr3:uid="{6BA0F897-42C2-4EFB-8FB4-8F56E8B48934}" name="Клюева Светлана Леонардовна" totalsRowFunction="sum" dataDxfId="98" totalsRowDxfId="97"/>
    <tableColumn id="28" xr3:uid="{4535BF24-BDC7-466F-847A-F835FC8D9DBA}" name="Клюева (ЛДПР)" dataDxfId="96" totalsRowDxfId="95">
      <calculatedColumnFormula>100*Z2/$O2</calculatedColumnFormula>
    </tableColumn>
    <tableColumn id="29" xr3:uid="{CE6C332F-01BF-4A8C-8E72-C5975B9774BD}" name="Кучарина Марина Николаевна" totalsRowFunction="sum" dataDxfId="94" totalsRowDxfId="93"/>
    <tableColumn id="30" xr3:uid="{E7FB92AE-362E-46DF-A858-59FDAB23AD90}" name="Кучарина (ЕР)" dataDxfId="92" totalsRowDxfId="91">
      <calculatedColumnFormula>100*AB2/$O2</calculatedColumnFormula>
    </tableColumn>
    <tableColumn id="3" xr3:uid="{FF8D34A6-2975-4A70-A110-6BD75037D70D}" name="Милютина Татьяна Игоревна" totalsRowFunction="sum" dataDxfId="90" totalsRowDxfId="89"/>
    <tableColumn id="4" xr3:uid="{F6475628-E0D4-4909-B03A-B5DF596C245B}" name="Милютина (пенсионеров)" dataDxfId="88" totalsRowDxfId="87">
      <calculatedColumnFormula>100*AD2/$O2</calculatedColumnFormula>
    </tableColumn>
    <tableColumn id="35" xr3:uid="{BB09E77C-0A13-4B9F-987F-C9A25CC2E5D6}" name="Рогова Ирина Олеговна" totalsRowFunction="sum" dataDxfId="86" totalsRowDxfId="85"/>
    <tableColumn id="36" xr3:uid="{DCCE5824-34C4-4D56-B1BB-65B843DE464D}" name="Рогова" dataDxfId="84" totalsRowDxfId="83">
      <calculatedColumnFormula>100*AF2/$O2</calculatedColumnFormula>
    </tableColumn>
    <tableColumn id="31" xr3:uid="{D5DFD18B-5155-427B-981F-33A11F55B151}" name="Сиваков Артур Викторович" totalsRowFunction="sum" dataDxfId="82" totalsRowDxfId="81"/>
    <tableColumn id="32" xr3:uid="{D1F4B7AA-09F6-45CE-8FD8-CD045AFFF0F7}" name="Сиваков (СР)" dataDxfId="80" totalsRowDxfId="79">
      <calculatedColumnFormula>100*AH2/$O2</calculatedColumnFormula>
    </tableColumn>
    <tableColumn id="60" xr3:uid="{3E94AD07-A8D8-4528-AE85-90EE5AF044F1}" name="КОИБ" totalsRowFunction="countNums" totalsRowDxfId="78"/>
    <tableColumn id="52" xr3:uid="{B26DD736-A2A5-4151-8F0A-A772E3DF94FF}" name="Наблюдателей" totalsRowFunction="countNums" dataDxfId="77" totalsRowDxfId="76"/>
    <tableColumn id="1" xr3:uid="{753E42BB-A4CC-4C7E-AAC5-47CAAAD39C4E}" name="Качество наблюдения" dataDxfId="75" totalsRowDxfId="7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199FEA9-3F3E-4542-A317-4915A235182D}" name="Дума_партии3413" displayName="Дума_партии3413" ref="A1:AJ8" totalsRowCount="1" headerRowDxfId="73" dataDxfId="72" totalsRowDxfId="71">
  <autoFilter ref="A1:AJ7" xr:uid="{05856A0A-FAEC-4712-B32A-2BDAF6280669}"/>
  <tableColumns count="36">
    <tableColumn id="5" xr3:uid="{931E5C0F-D90B-4A87-A1EA-AB6758F268B1}" name="ОИК" dataDxfId="70" totalsRowDxfId="69"/>
    <tableColumn id="53" xr3:uid="{15E0FE4A-8B5C-4970-8AF0-F3348B05B3D0}" name="УИК" totalsRowFunction="count" dataDxfId="68" totalsRowDxfId="67"/>
    <tableColumn id="54" xr3:uid="{390BCCC3-8A81-4BF1-B8F1-5058E3305531}" name="Местоположение" dataDxfId="66" totalsRowDxfId="65"/>
    <tableColumn id="55" xr3:uid="{3B547E5A-9CFE-4E09-B138-5CD52CE0C8C2}" name="Число избирателей, внесенных в список на момент окончания голосования" totalsRowFunction="sum" dataDxfId="64" totalsRowDxfId="63"/>
    <tableColumn id="6" xr3:uid="{A640A52B-45A4-4195-9FAD-8AD13E404D09}" name="Вес участка" dataDxfId="62" totalsRowDxfId="61">
      <calculatedColumnFormula>D2</calculatedColumnFormula>
    </tableColumn>
    <tableColumn id="7" xr3:uid="{64392C9F-E216-4F2C-83A7-CDD16E101495}" name="Число бюллетеней, полученных участковой избирательной комиссией" totalsRowFunction="sum" dataDxfId="60" totalsRowDxfId="59"/>
    <tableColumn id="8" xr3:uid="{9DA53501-6AE8-4C12-A3E5-6D9523CAFCCC}" name="Число бюллетеней, выданных избирателям, проголосовавшим досрочно в помещении территориальной избирательной комиссии" totalsRowFunction="sum" dataDxfId="58" totalsRowDxfId="57"/>
    <tableColumn id="9" xr3:uid="{4A7CD5A1-10ED-4490-82E1-F9F2AD64BC16}" name="Число бюллетеней, выданных избирателям, в помещении для голосования в день голосования" totalsRowFunction="sum" dataDxfId="56" totalsRowDxfId="55"/>
    <tableColumn id="10" xr3:uid="{25CE71B2-BB67-4DE1-BC53-C602EE275E0F}" name="Число бюллетеней, выданных избирателям, проголосовавшим вне помещения для голосования в день голосования" totalsRowFunction="sum" dataDxfId="54" totalsRowDxfId="53"/>
    <tableColumn id="11" xr3:uid="{8A705D74-32EC-4BF6-B689-8F417AFECF69}" name="Явка" dataDxfId="52" totalsRowDxfId="51">
      <calculatedColumnFormula>100*(H2+I2)/D2</calculatedColumnFormula>
    </tableColumn>
    <tableColumn id="12" xr3:uid="{A1070009-FD42-44C3-ADCE-FDC8839E1C00}" name="Надомка от списка" dataDxfId="50" totalsRowDxfId="49">
      <calculatedColumnFormula>100*I2/D2</calculatedColumnFormula>
    </tableColumn>
    <tableColumn id="13" xr3:uid="{81BF0DE9-6F91-4EEA-90B2-D46714E41169}" name="Число погашенных бюллетеней" totalsRowFunction="sum" dataDxfId="48" totalsRowDxfId="47"/>
    <tableColumn id="14" xr3:uid="{2408B31A-A08A-4144-A4E1-5A3816F955D7}" name="Число бюллетеней, содержащихся в переносных ящиках для голосования" totalsRowFunction="sum" dataDxfId="46" totalsRowDxfId="45"/>
    <tableColumn id="15" xr3:uid="{74CEEF25-49A2-4F2A-BE05-79F94DB7FF6A}" name="Число бюллетеней, содержащихся в стационарных ящиках для голосования" totalsRowFunction="sum" dataDxfId="44" totalsRowDxfId="43"/>
    <tableColumn id="16" xr3:uid="{2C943DCF-342C-487F-958C-AD2233158698}" name="Обнаружено" totalsRowFunction="sum" dataDxfId="42" totalsRowDxfId="41">
      <calculatedColumnFormula>M2+N2</calculatedColumnFormula>
    </tableColumn>
    <tableColumn id="17" xr3:uid="{09010C56-6A96-4E28-B4AE-27FDD1827FFB}" name="Надомка" dataDxfId="40" totalsRowDxfId="39">
      <calculatedColumnFormula>100*M2/O2</calculatedColumnFormula>
    </tableColumn>
    <tableColumn id="18" xr3:uid="{AD8714E8-333E-402B-9287-F99650CCB8EA}" name="Число недействительных бюллетеней" totalsRowFunction="sum" dataDxfId="38" totalsRowDxfId="37"/>
    <tableColumn id="19" xr3:uid="{BD993F10-3938-4205-8ABA-5348FA4B4319}" name="Недействительных" dataDxfId="36" totalsRowDxfId="35">
      <calculatedColumnFormula>100*Q2/O2</calculatedColumnFormula>
    </tableColumn>
    <tableColumn id="20" xr3:uid="{0A687E48-1B62-420A-9262-11662263E565}" name="Число действительных бюллетеней" totalsRowFunction="sum" dataDxfId="34" totalsRowDxfId="33"/>
    <tableColumn id="21" xr3:uid="{979AAEF2-8DD2-4A51-B91A-EFCA465B0081}" name="Число утраченных бюллетеней" totalsRowFunction="sum" dataDxfId="32" totalsRowDxfId="31"/>
    <tableColumn id="22" xr3:uid="{CD351870-1161-4BC8-9634-2205E1F0984E}" name="Число бюллетеней, не учтенных при получении" totalsRowFunction="sum" dataDxfId="30" totalsRowDxfId="29"/>
    <tableColumn id="23" xr3:uid="{1908936E-3B81-4C11-88C0-0FFBD114484B}" name="Вершинин Евгений Петрович" totalsRowFunction="sum" dataDxfId="28" totalsRowDxfId="27"/>
    <tableColumn id="24" xr3:uid="{8C1CDD0E-8FCA-4594-BE9B-493C1B5BBCC9}" name="Вершинин (пенсионеров)" dataDxfId="26" totalsRowDxfId="25">
      <calculatedColumnFormula>100*V2/$O2</calculatedColumnFormula>
    </tableColumn>
    <tableColumn id="25" xr3:uid="{8D7B25CD-6E87-4CF5-AD11-CEDD431942A5}" name="Ермилова Марина Леонидовна" totalsRowFunction="sum" dataDxfId="24" totalsRowDxfId="23"/>
    <tableColumn id="26" xr3:uid="{D809AE2D-7944-4FB4-B114-9AB9DE8CBF24}" name="Ермилова" dataDxfId="22" totalsRowDxfId="21">
      <calculatedColumnFormula>100*X2/$O2</calculatedColumnFormula>
    </tableColumn>
    <tableColumn id="27" xr3:uid="{7C0325C9-0FFB-48C1-B5C4-F5FF7969E06F}" name="Колистратов Дмитрий Анатольевич" totalsRowFunction="sum" dataDxfId="20" totalsRowDxfId="19"/>
    <tableColumn id="28" xr3:uid="{A2C99A18-FF36-4B66-825E-E3538968F1E6}" name="Колистратов (СР)" dataDxfId="18" totalsRowDxfId="17">
      <calculatedColumnFormula>100*Z2/$O2</calculatedColumnFormula>
    </tableColumn>
    <tableColumn id="29" xr3:uid="{7FB0AB21-3719-4C2D-9E4B-A29670D844A7}" name="Рыбальченко Андрей Николаевич" totalsRowFunction="sum" dataDxfId="16" totalsRowDxfId="15"/>
    <tableColumn id="30" xr3:uid="{E2094F39-36A0-4A93-855E-758B832E9501}" name="Рыбальченко (ЕР)" dataDxfId="14" totalsRowDxfId="13">
      <calculatedColumnFormula>100*AB2/$O2</calculatedColumnFormula>
    </tableColumn>
    <tableColumn id="3" xr3:uid="{D0D78F3D-6519-4EDA-B7CE-C68D36ACC5BF}" name="Хацук Анастасия Павловна" totalsRowFunction="sum" dataDxfId="12" totalsRowDxfId="11"/>
    <tableColumn id="4" xr3:uid="{55C80D2D-C370-4181-9290-DD05469A7D5C}" name="Хацук (ЛДПР)" dataDxfId="10" totalsRowDxfId="9">
      <calculatedColumnFormula>100*AD2/$O2</calculatedColumnFormula>
    </tableColumn>
    <tableColumn id="35" xr3:uid="{23AC15D3-9067-49D3-8178-D7E92B5D6EFD}" name="Цалис Елена Станиславовна" totalsRowFunction="sum" dataDxfId="8" totalsRowDxfId="7"/>
    <tableColumn id="36" xr3:uid="{CA304125-B4CF-468F-BB94-0470195193CB}" name="Цалис (Родина)" dataDxfId="6" totalsRowDxfId="5">
      <calculatedColumnFormula>100*AF2/$O2</calculatedColumnFormula>
    </tableColumn>
    <tableColumn id="60" xr3:uid="{2DA2AD4F-5EDE-488B-B27F-744870C56B7F}" name="КОИБ" totalsRowFunction="countNums" totalsRowDxfId="4"/>
    <tableColumn id="52" xr3:uid="{44DDF013-481B-4C1D-B016-AC6D4B8F378E}" name="Наблюдателей" totalsRowFunction="countNums" dataDxfId="3" totalsRowDxfId="2"/>
    <tableColumn id="1" xr3:uid="{DE3621EC-182E-4C63-8B59-340CC4FF4A02}" name="Качество наблюдения" dataDxfId="1" totalsRow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17ABDA-D693-4761-8EBA-92620CD3254C}" name="Дума_партии3" displayName="Дума_партии3" ref="A1:AJ8" totalsRowCount="1" headerRowDxfId="753" dataDxfId="752" totalsRowDxfId="751">
  <autoFilter ref="A1:AJ7" xr:uid="{05856A0A-FAEC-4712-B32A-2BDAF6280669}"/>
  <tableColumns count="36">
    <tableColumn id="5" xr3:uid="{4868A783-6343-485B-8EFA-7912923D7A78}" name="ОИК" dataDxfId="750" totalsRowDxfId="749"/>
    <tableColumn id="53" xr3:uid="{41CC22A8-E4C8-447B-86A6-817E5BF6CFE2}" name="УИК" totalsRowFunction="count" dataDxfId="748" totalsRowDxfId="747">
      <calculatedColumnFormula>SUMPRODUCT(MID(0&amp;A2, LARGE(INDEX(ISNUMBER(--MID(A2, ROW(INDIRECT("1:"&amp;LEN(A2))), 1)) * ROW(INDIRECT("1:"&amp;LEN(A2))), 0), ROW(INDIRECT("1:"&amp;LEN(A2))))+1, 1) * 10^ROW(INDIRECT("1:"&amp;LEN(A2)))/10)</calculatedColumnFormula>
    </tableColumn>
    <tableColumn id="54" xr3:uid="{49D19795-D28C-4056-BFD5-79554A75FA59}" name="Местоположение" dataDxfId="746" totalsRowDxfId="745"/>
    <tableColumn id="55" xr3:uid="{54CF7138-7DE2-445A-9FD1-C801630EC3D7}" name="Число избирателей, внесенных в список на момент окончания голосования" totalsRowFunction="sum" dataDxfId="744" totalsRowDxfId="743"/>
    <tableColumn id="6" xr3:uid="{2F40A3C4-67FA-4030-BA0C-03546C3D7FE3}" name="Вес участка" dataDxfId="742" totalsRowDxfId="741">
      <calculatedColumnFormula>D2</calculatedColumnFormula>
    </tableColumn>
    <tableColumn id="7" xr3:uid="{2956199D-2C09-4B6E-B240-D7F8728372C3}" name="Число бюллетеней, полученных участковой избирательной комиссией" totalsRowFunction="sum" dataDxfId="740" totalsRowDxfId="739"/>
    <tableColumn id="8" xr3:uid="{7B0D9A90-B3D6-45AA-9FF4-232F8A527CB2}" name="Число бюллетеней, выданных избирателям, проголосовавшим досрочно в помещении территориальной избирательной комиссии" totalsRowFunction="sum" dataDxfId="738" totalsRowDxfId="737"/>
    <tableColumn id="9" xr3:uid="{5028BD94-667B-407C-A4D5-2AB9F72056DA}" name="Число бюллетеней, выданных избирателям, в помещении для голосования в день голосования" totalsRowFunction="sum" dataDxfId="736" totalsRowDxfId="735"/>
    <tableColumn id="10" xr3:uid="{15B1A528-AA47-4078-AF04-40EE8EF641B2}" name="Число бюллетеней, выданных избирателям, проголосовавшим вне помещения для голосования в день голосования" totalsRowFunction="sum" dataDxfId="734" totalsRowDxfId="733"/>
    <tableColumn id="11" xr3:uid="{0BEE2931-C25F-4722-A729-0959E7EC7A33}" name="Явка" dataDxfId="732" totalsRowDxfId="731">
      <calculatedColumnFormula>100*(H2+I2)/D2</calculatedColumnFormula>
    </tableColumn>
    <tableColumn id="12" xr3:uid="{091075C1-3C9E-4729-AAC4-74AAC5478F04}" name="Надомка от списка" dataDxfId="730" totalsRowDxfId="729">
      <calculatedColumnFormula>100*I2/D2</calculatedColumnFormula>
    </tableColumn>
    <tableColumn id="13" xr3:uid="{A45E24C6-2C30-4E1E-AC2E-19A3DC2C9F41}" name="Число погашенных бюллетеней" totalsRowFunction="sum" dataDxfId="728" totalsRowDxfId="727"/>
    <tableColumn id="14" xr3:uid="{4D70891A-0954-4F4E-8C65-15B126A3AEF9}" name="Число бюллетеней, содержащихся в переносных ящиках для голосования" totalsRowFunction="sum" dataDxfId="726" totalsRowDxfId="725"/>
    <tableColumn id="15" xr3:uid="{459548FB-AEBC-4598-971A-E821461BA8CE}" name="Число бюллетеней, содержащихся в стационарных ящиках для голосования" totalsRowFunction="sum" dataDxfId="724" totalsRowDxfId="723"/>
    <tableColumn id="16" xr3:uid="{CFCE988B-EE09-463D-A494-D3D0D8E6092B}" name="Обнаружено" totalsRowFunction="sum" dataDxfId="722" totalsRowDxfId="721">
      <calculatedColumnFormula>M2+N2</calculatedColumnFormula>
    </tableColumn>
    <tableColumn id="17" xr3:uid="{0737F8D7-58B1-4B20-A31A-CB9E28BF44FD}" name="Надомка" dataDxfId="720" totalsRowDxfId="719">
      <calculatedColumnFormula>100*M2/O2</calculatedColumnFormula>
    </tableColumn>
    <tableColumn id="18" xr3:uid="{05E516EA-DB72-4397-A1F2-5E1E015AE50D}" name="Число недействительных бюллетеней" totalsRowFunction="sum" dataDxfId="718" totalsRowDxfId="717"/>
    <tableColumn id="19" xr3:uid="{D4A11550-E782-418B-AE4B-C5F75F97222B}" name="Недействительных" dataDxfId="716" totalsRowDxfId="715">
      <calculatedColumnFormula>100*Q2/O2</calculatedColumnFormula>
    </tableColumn>
    <tableColumn id="20" xr3:uid="{43DAE968-784C-4158-B0AE-AAF0A573E186}" name="Число действительных бюллетеней" totalsRowFunction="sum" dataDxfId="714" totalsRowDxfId="713"/>
    <tableColumn id="21" xr3:uid="{59081B96-9E6A-4016-8F6C-F34164E8B7DF}" name="Число утраченных бюллетеней" totalsRowFunction="sum" dataDxfId="712" totalsRowDxfId="711"/>
    <tableColumn id="22" xr3:uid="{479F8CD6-7B85-4A1A-BB82-2C01CBDE7674}" name="Число бюллетеней, не учтенных при получении" totalsRowFunction="sum" dataDxfId="710" totalsRowDxfId="709"/>
    <tableColumn id="23" xr3:uid="{4E185E50-4803-432B-B10D-4C4FC5231AA0}" name="Бурлаенко Татьяна Алексеевна" totalsRowFunction="sum" dataDxfId="708" totalsRowDxfId="707"/>
    <tableColumn id="24" xr3:uid="{B0CCE143-EE5C-4E7E-8EB5-CAE0355CE894}" name="Бурлаенко (ЕР)" dataDxfId="706" totalsRowDxfId="705">
      <calculatedColumnFormula>100*V2/$O2</calculatedColumnFormula>
    </tableColumn>
    <tableColumn id="25" xr3:uid="{07C7FDB8-8DF5-459B-84B1-A3EE3F64D6AC}" name="Вахмистров Евгений Павлович" totalsRowFunction="sum" dataDxfId="704" totalsRowDxfId="703"/>
    <tableColumn id="26" xr3:uid="{F339A457-13B1-47AD-809D-02F37B83B026}" name="Вахмистров (Родина)" dataDxfId="702" totalsRowDxfId="701">
      <calculatedColumnFormula>100*X2/$O2</calculatedColumnFormula>
    </tableColumn>
    <tableColumn id="27" xr3:uid="{C9F8AFFE-E781-40F5-9F70-9B11E92FC5DD}" name="Корякина Светлана Николаевна" totalsRowFunction="sum" dataDxfId="700" totalsRowDxfId="699"/>
    <tableColumn id="28" xr3:uid="{19D52334-D4B5-4ACC-888C-43AE144CF0FD}" name="Корякина (пенсионеров)" dataDxfId="698" totalsRowDxfId="697">
      <calculatedColumnFormula>100*Z2/$O2</calculatedColumnFormula>
    </tableColumn>
    <tableColumn id="29" xr3:uid="{18B6278E-0E58-438F-9A02-4AD3DFFE8BFE}" name="Малюта Юлия Юрьевна" totalsRowFunction="sum" dataDxfId="696" totalsRowDxfId="695"/>
    <tableColumn id="30" xr3:uid="{BAE6D057-CE77-4ADF-9B20-113B99D98693}" name="Малюта" dataDxfId="694" totalsRowDxfId="693">
      <calculatedColumnFormula>100*AB2/$O2</calculatedColumnFormula>
    </tableColumn>
    <tableColumn id="31" xr3:uid="{14D90B77-B6BD-4270-A7A4-F1ED17C08BE2}" name="Чубенко Алексей Николаевич" totalsRowFunction="sum" dataDxfId="692" totalsRowDxfId="691"/>
    <tableColumn id="32" xr3:uid="{A6D82177-D030-4AF4-8236-B8732D1306A5}" name="Чубенко (СР)" dataDxfId="690" totalsRowDxfId="689">
      <calculatedColumnFormula>100*AD2/$O2</calculatedColumnFormula>
    </tableColumn>
    <tableColumn id="33" xr3:uid="{E2A60368-81DD-4541-8624-D02CCB0AD763}" name="Щербакова Ольга Борисовна" totalsRowFunction="sum" dataDxfId="688" totalsRowDxfId="687"/>
    <tableColumn id="34" xr3:uid="{5F8BD49F-7028-4AA6-9F6C-B45EE7235E43}" name="Щербакова (ЛДПР)" dataDxfId="686" totalsRowDxfId="685">
      <calculatedColumnFormula>100*AF2/$O2</calculatedColumnFormula>
    </tableColumn>
    <tableColumn id="60" xr3:uid="{36FDB32E-9915-44FB-9088-27F8E755B876}" name="КОИБ" totalsRowFunction="countNums" totalsRowDxfId="684"/>
    <tableColumn id="52" xr3:uid="{D0BD82EA-2FD7-4313-A41C-CBE848C600B7}" name="Наблюдателей" totalsRowFunction="countNums" dataDxfId="683" totalsRowDxfId="682"/>
    <tableColumn id="1" xr3:uid="{D2BE2EBA-87B6-473B-AA82-E8FF36138755}" name="Качество наблюдения" dataDxfId="681" totalsRowDxfId="68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FCCA5E-58F3-46C7-A799-29EC4AC3AE55}" name="Дума_партии345" displayName="Дума_партии345" ref="A1:AH6" totalsRowCount="1" headerRowDxfId="679" dataDxfId="678" totalsRowDxfId="677">
  <autoFilter ref="A1:AH5" xr:uid="{05856A0A-FAEC-4712-B32A-2BDAF6280669}"/>
  <tableColumns count="34">
    <tableColumn id="5" xr3:uid="{C8F44FC8-E5A7-41C3-8FCB-4BB9A0F6AF72}" name="ОИК" dataDxfId="676" totalsRowDxfId="675"/>
    <tableColumn id="53" xr3:uid="{31F95CE7-011B-4B76-B053-0FACEDE2763C}" name="УИК" totalsRowFunction="count" dataDxfId="674" totalsRowDxfId="673"/>
    <tableColumn id="54" xr3:uid="{5A62075E-8B3B-4196-8F99-2D32C3424B9C}" name="Местоположение" dataDxfId="672" totalsRowDxfId="671"/>
    <tableColumn id="55" xr3:uid="{2E543E81-0B55-4D3A-81A7-80EB917E349E}" name="Число избирателей, внесенных в список на момент окончания голосования" totalsRowFunction="sum" dataDxfId="670" totalsRowDxfId="669"/>
    <tableColumn id="6" xr3:uid="{156B816A-38D8-4EF6-BE3D-3C6C98CC6E06}" name="Вес участка" dataDxfId="668" totalsRowDxfId="667">
      <calculatedColumnFormula>D2</calculatedColumnFormula>
    </tableColumn>
    <tableColumn id="7" xr3:uid="{B4D239A1-E2B5-4568-9B4D-6624FE2F6098}" name="Число бюллетеней, полученных участковой избирательной комиссией" totalsRowFunction="sum" dataDxfId="666" totalsRowDxfId="665"/>
    <tableColumn id="8" xr3:uid="{E2FE1E4B-3888-4B2B-A6AD-5FB8197211BF}" name="Число бюллетеней, выданных избирателям, проголосовавшим досрочно в помещении территориальной избирательной комиссии" totalsRowFunction="sum" dataDxfId="664" totalsRowDxfId="663"/>
    <tableColumn id="9" xr3:uid="{95A29806-7EEB-4152-BDAE-57B71A4928D3}" name="Число бюллетеней, выданных избирателям, в помещении для голосования в день голосования" totalsRowFunction="sum" dataDxfId="662" totalsRowDxfId="661"/>
    <tableColumn id="10" xr3:uid="{EADADB4B-8E19-4B66-9EAA-EE14D2F5C269}" name="Число бюллетеней, выданных избирателям, проголосовавшим вне помещения для голосования в день голосования" totalsRowFunction="sum" dataDxfId="660" totalsRowDxfId="659"/>
    <tableColumn id="11" xr3:uid="{362FE913-6951-4327-991F-A7D10D846CF1}" name="Явка" dataDxfId="658" totalsRowDxfId="657">
      <calculatedColumnFormula>100*(H2+I2)/D2</calculatedColumnFormula>
    </tableColumn>
    <tableColumn id="12" xr3:uid="{3C12AD5B-33DC-44B9-B239-4762D1ED2241}" name="Надомка от списка" dataDxfId="656" totalsRowDxfId="655">
      <calculatedColumnFormula>100*I2/D2</calculatedColumnFormula>
    </tableColumn>
    <tableColumn id="13" xr3:uid="{D1EDF619-EF17-47E4-B44F-524353F0EEEE}" name="Число погашенных бюллетеней" totalsRowFunction="sum" dataDxfId="654" totalsRowDxfId="653"/>
    <tableColumn id="14" xr3:uid="{8AD5A85C-AEDC-48C0-872C-CE4076415CBA}" name="Число бюллетеней, содержащихся в переносных ящиках для голосования" totalsRowFunction="sum" dataDxfId="652" totalsRowDxfId="651"/>
    <tableColumn id="15" xr3:uid="{5B14F3B9-F418-44F4-AE71-48B3659CE196}" name="Число бюллетеней, содержащихся в стационарных ящиках для голосования" totalsRowFunction="sum" dataDxfId="650" totalsRowDxfId="649"/>
    <tableColumn id="16" xr3:uid="{BD6A28DD-6AB0-4080-BCB2-AB7A846DDC43}" name="Обнаружено" totalsRowFunction="sum" dataDxfId="648" totalsRowDxfId="647">
      <calculatedColumnFormula>M2+N2</calculatedColumnFormula>
    </tableColumn>
    <tableColumn id="17" xr3:uid="{951E0F68-E263-4D85-8C1E-E48D53899962}" name="Надомка" dataDxfId="646" totalsRowDxfId="645">
      <calculatedColumnFormula>100*M2/O2</calculatedColumnFormula>
    </tableColumn>
    <tableColumn id="18" xr3:uid="{F2797103-2129-483E-A3D0-EB0153672DE4}" name="Число недействительных бюллетеней" totalsRowFunction="sum" dataDxfId="644" totalsRowDxfId="643"/>
    <tableColumn id="19" xr3:uid="{B029E496-7B1B-492F-880F-E957B7C0A06B}" name="Недействительных" dataDxfId="642" totalsRowDxfId="641">
      <calculatedColumnFormula>100*Q2/O2</calculatedColumnFormula>
    </tableColumn>
    <tableColumn id="20" xr3:uid="{D3033203-FF1A-432E-A422-25496CFCBD00}" name="Число действительных бюллетеней" totalsRowFunction="sum" dataDxfId="640" totalsRowDxfId="639"/>
    <tableColumn id="21" xr3:uid="{4A898E6B-A524-40D9-9096-682AF890DA70}" name="Число утраченных бюллетеней" totalsRowFunction="sum" dataDxfId="638" totalsRowDxfId="637"/>
    <tableColumn id="22" xr3:uid="{26D37173-7CE8-4DCF-8301-D4620E695483}" name="Число бюллетеней, не учтенных при получении" totalsRowFunction="sum" dataDxfId="636" totalsRowDxfId="635"/>
    <tableColumn id="23" xr3:uid="{AD5A82DF-437B-4AC2-9649-218122B69387}" name="Данилов Вячеслав Александрович" totalsRowFunction="sum" dataDxfId="634" totalsRowDxfId="633"/>
    <tableColumn id="24" xr3:uid="{921000F9-C492-431B-BD81-28DDD63B968D}" name="Данилов (ЕР)" dataDxfId="632" totalsRowDxfId="631">
      <calculatedColumnFormula>100*V2/$O2</calculatedColumnFormula>
    </tableColumn>
    <tableColumn id="25" xr3:uid="{DCD61039-87C5-4C56-A00E-6212829C5359}" name="Космынин Андрей Николаевич" totalsRowFunction="sum" dataDxfId="630" totalsRowDxfId="629"/>
    <tableColumn id="26" xr3:uid="{39295F17-733E-4CFA-AE8B-B90F9C314787}" name="Космынин" dataDxfId="628" totalsRowDxfId="627">
      <calculatedColumnFormula>100*X2/$O2</calculatedColumnFormula>
    </tableColumn>
    <tableColumn id="27" xr3:uid="{A30C4A6A-A0B5-4F52-AAF0-AC8D3568C22D}" name="Никитенков Владимир Владимирович" totalsRowFunction="sum" dataDxfId="626" totalsRowDxfId="625"/>
    <tableColumn id="28" xr3:uid="{BD4D698E-A3F1-4F41-A144-C2CFD0C12974}" name="Никитенков (Родина)" dataDxfId="624" totalsRowDxfId="623">
      <calculatedColumnFormula>100*Z2/$O2</calculatedColumnFormula>
    </tableColumn>
    <tableColumn id="29" xr3:uid="{18694980-B09C-4728-A368-0F61E42BC7D3}" name="Орлов Владимир Сергеевич" totalsRowFunction="sum" dataDxfId="622" totalsRowDxfId="621"/>
    <tableColumn id="30" xr3:uid="{D9040AE6-436B-4DD4-9F4A-EEA5D1A8B6B8}" name="Орлов (ЛДПР)" dataDxfId="620" totalsRowDxfId="619">
      <calculatedColumnFormula>100*AB2/$O2</calculatedColumnFormula>
    </tableColumn>
    <tableColumn id="3" xr3:uid="{195E7A91-A245-4F7A-91E0-EA1D7CB72B22}" name="Сорокин Андрей Валентинович" totalsRowFunction="sum" dataDxfId="618" totalsRowDxfId="617"/>
    <tableColumn id="4" xr3:uid="{3F885427-955E-4A94-B840-F49DF66721EA}" name="Сорокин (СР)" dataDxfId="616" totalsRowDxfId="615">
      <calculatedColumnFormula>100*AD2/$O2</calculatedColumnFormula>
    </tableColumn>
    <tableColumn id="60" xr3:uid="{CC79E54C-7CE0-4830-B298-023086E38444}" name="КОИБ" totalsRowFunction="countNums" totalsRowDxfId="614"/>
    <tableColumn id="52" xr3:uid="{FE970B0B-E2ED-4106-9B2B-70E50A08A2ED}" name="Наблюдателей" totalsRowFunction="countNums" dataDxfId="613" totalsRowDxfId="612"/>
    <tableColumn id="1" xr3:uid="{C2F8182C-6BB4-427A-9BFD-ABF4976E1877}" name="Качество наблюдения" dataDxfId="611" totalsRowDxfId="6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B4786E-CE05-4268-B366-3A9625FD0280}" name="Дума_партии347" displayName="Дума_партии347" ref="A1:AJ6" totalsRowCount="1" headerRowDxfId="609" totalsRowDxfId="608">
  <autoFilter ref="A1:AJ5" xr:uid="{05856A0A-FAEC-4712-B32A-2BDAF6280669}"/>
  <tableColumns count="36">
    <tableColumn id="5" xr3:uid="{F61E5241-C762-49DF-A5B6-D746B85603A4}" name="ОИК" dataDxfId="607" totalsRowDxfId="606"/>
    <tableColumn id="53" xr3:uid="{CD3E8FDE-B55F-4C79-B9B2-A3E78B98471F}" name="УИК" totalsRowFunction="count" dataDxfId="605" totalsRowDxfId="604"/>
    <tableColumn id="54" xr3:uid="{324EB7CA-7B7F-43A3-A39B-486691875395}" name="Местоположение" dataDxfId="603" totalsRowDxfId="602"/>
    <tableColumn id="55" xr3:uid="{E8A5668D-2E2C-4AB6-B565-8AB233E10584}" name="Число избирателей, внесенных в список на момент окончания голосования" totalsRowFunction="sum" dataDxfId="601" totalsRowDxfId="600"/>
    <tableColumn id="6" xr3:uid="{D55D4075-33DE-48F4-B79B-F3E3D88DAB08}" name="Вес участка" dataDxfId="599" totalsRowDxfId="598">
      <calculatedColumnFormula>D2</calculatedColumnFormula>
    </tableColumn>
    <tableColumn id="7" xr3:uid="{8B066851-2F62-4105-90E3-41ADFD84FB10}" name="Число бюллетеней, полученных участковой избирательной комиссией" totalsRowFunction="sum" dataDxfId="597" totalsRowDxfId="596"/>
    <tableColumn id="8" xr3:uid="{FE92A68D-AFB3-4407-95D1-EA578527B5D3}" name="Число бюллетеней, выданных избирателям, проголосовавшим досрочно в помещении территориальной избирательной комиссии" totalsRowFunction="sum" dataDxfId="595" totalsRowDxfId="594"/>
    <tableColumn id="9" xr3:uid="{C6E28A21-42B6-4255-8B03-B3A75AA68D09}" name="Число бюллетеней, выданных избирателям, в помещении для голосования в день голосования" totalsRowFunction="sum" dataDxfId="593" totalsRowDxfId="592"/>
    <tableColumn id="10" xr3:uid="{1E3B9BEA-4840-4128-812B-75941686EB34}" name="Число бюллетеней, выданных избирателям, проголосовавшим вне помещения для голосования в день голосования" totalsRowFunction="sum" dataDxfId="591" totalsRowDxfId="590"/>
    <tableColumn id="11" xr3:uid="{A65BB948-3121-4391-9F0F-BFEFD58BF727}" name="Явка" dataDxfId="589" totalsRowDxfId="588">
      <calculatedColumnFormula>100*(H2+I2)/D2</calculatedColumnFormula>
    </tableColumn>
    <tableColumn id="12" xr3:uid="{914280B0-8E34-49A8-B88F-358CEFBBD0BB}" name="Надомка от списка" dataDxfId="587" totalsRowDxfId="586">
      <calculatedColumnFormula>100*I2/D2</calculatedColumnFormula>
    </tableColumn>
    <tableColumn id="13" xr3:uid="{0DDCF4BB-2B5E-4B3F-8CBC-9C3790903854}" name="Число погашенных бюллетеней" totalsRowFunction="sum" dataDxfId="585" totalsRowDxfId="584"/>
    <tableColumn id="14" xr3:uid="{C0B45D96-745D-45F3-AA12-4251D26BACA9}" name="Число бюллетеней, содержащихся в переносных ящиках для голосования" totalsRowFunction="sum" dataDxfId="583" totalsRowDxfId="582"/>
    <tableColumn id="15" xr3:uid="{54AE0333-C275-4803-8A18-5E764E834219}" name="Число бюллетеней, содержащихся в стационарных ящиках для голосования" totalsRowFunction="sum" dataDxfId="581" totalsRowDxfId="580"/>
    <tableColumn id="16" xr3:uid="{4663D165-40E3-4457-ABA7-D91B714EA02A}" name="Обнаружено" totalsRowFunction="sum" dataDxfId="579" totalsRowDxfId="578">
      <calculatedColumnFormula>M2+N2</calculatedColumnFormula>
    </tableColumn>
    <tableColumn id="17" xr3:uid="{72272B74-0F60-4CD2-BFF7-686F6D0857CC}" name="Надомка" dataDxfId="577" totalsRowDxfId="576">
      <calculatedColumnFormula>100*M2/O2</calculatedColumnFormula>
    </tableColumn>
    <tableColumn id="18" xr3:uid="{808C63D6-C7B7-43CD-A99E-A9E4FB628CBE}" name="Число недействительных бюллетеней" totalsRowFunction="sum" dataDxfId="575" totalsRowDxfId="574"/>
    <tableColumn id="19" xr3:uid="{F1387077-2CD7-4E8D-8BA1-9196C501FB4B}" name="Недействительных" dataDxfId="573" totalsRowDxfId="572">
      <calculatedColumnFormula>100*Q2/O2</calculatedColumnFormula>
    </tableColumn>
    <tableColumn id="20" xr3:uid="{68424F68-129F-4303-B41F-621146B6B99A}" name="Число действительных бюллетеней" totalsRowFunction="sum" dataDxfId="571" totalsRowDxfId="570"/>
    <tableColumn id="21" xr3:uid="{F2D0A23C-1A15-424C-BAC0-F42F7FB66E71}" name="Число утраченных бюллетеней" totalsRowFunction="sum" dataDxfId="569" totalsRowDxfId="568"/>
    <tableColumn id="22" xr3:uid="{F1E1A43B-7F98-418E-89FE-741063500BAC}" name="Число бюллетеней, не учтенных при получении" totalsRowFunction="sum" dataDxfId="567" totalsRowDxfId="566"/>
    <tableColumn id="23" xr3:uid="{23017F02-B540-47BB-9813-FDF35A446BFD}" name="Бахтинов Андрей Александрович" totalsRowFunction="sum" dataDxfId="565" totalsRowDxfId="564"/>
    <tableColumn id="24" xr3:uid="{FFCF8F9F-117F-4F9C-9F3A-021F14D973E3}" name="Бахтинов (ЛДПР)" dataDxfId="563" totalsRowDxfId="562">
      <calculatedColumnFormula>100*V2/$O2</calculatedColumnFormula>
    </tableColumn>
    <tableColumn id="25" xr3:uid="{AB74A61C-5DCF-4B1D-BBDB-91C5A266BCB2}" name="Бурмистенков Владимир Владимирович" totalsRowFunction="sum" dataDxfId="561" totalsRowDxfId="560"/>
    <tableColumn id="26" xr3:uid="{5B42C4B5-5844-4299-9597-DE69A620C7AA}" name="Бурмистенков (ЕР)" dataDxfId="559" totalsRowDxfId="558">
      <calculatedColumnFormula>100*X2/$O2</calculatedColumnFormula>
    </tableColumn>
    <tableColumn id="27" xr3:uid="{E98CF762-3CB3-4B6B-A078-FD0E3A7730BE}" name="Васина Татьяна Алексеевна" totalsRowFunction="sum" dataDxfId="557" totalsRowDxfId="556"/>
    <tableColumn id="28" xr3:uid="{D3483F77-DD22-4B4B-B22D-6EAD3C9FCC97}" name="Васина" dataDxfId="555" totalsRowDxfId="554">
      <calculatedColumnFormula>100*Z2/$O2</calculatedColumnFormula>
    </tableColumn>
    <tableColumn id="29" xr3:uid="{15887A53-0158-4789-B8D9-2AE3016B1D7A}" name="Голубев Николай Александрович" totalsRowFunction="sum" dataDxfId="553" totalsRowDxfId="552"/>
    <tableColumn id="30" xr3:uid="{0BD6FFC3-2184-42CC-8969-736774C675FD}" name="Голубев (пенсионеров)" dataDxfId="551" totalsRowDxfId="550">
      <calculatedColumnFormula>100*AB2/$O2</calculatedColumnFormula>
    </tableColumn>
    <tableColumn id="3" xr3:uid="{F976B07B-1C6F-4C58-A89E-62E7CBF7B666}" name="Дедюжев Денис Игоревич" totalsRowFunction="sum" dataDxfId="549" totalsRowDxfId="548"/>
    <tableColumn id="4" xr3:uid="{3AD0815E-F29C-4B05-95E5-04E9AFB24410}" name="Дедюжев (СР)" dataDxfId="547" totalsRowDxfId="546">
      <calculatedColumnFormula>100*AD2/$O2</calculatedColumnFormula>
    </tableColumn>
    <tableColumn id="35" xr3:uid="{032621D9-C468-4852-AA13-5878D49D8D6D}" name="Костроменков Александр Владимирович" totalsRowFunction="sum" dataDxfId="545" totalsRowDxfId="544"/>
    <tableColumn id="36" xr3:uid="{3060649E-7F42-43E7-B884-1F61E6602B83}" name="Костроменков" dataDxfId="543" totalsRowDxfId="542">
      <calculatedColumnFormula>100*AF2/$O2</calculatedColumnFormula>
    </tableColumn>
    <tableColumn id="60" xr3:uid="{26950D41-5CB4-4742-897A-19DCACA47345}" name="КОИБ" totalsRowFunction="countNums" totalsRowDxfId="541"/>
    <tableColumn id="52" xr3:uid="{C35DF27E-3E4A-4EAB-87D5-4EC5A022125C}" name="Наблюдателей" totalsRowFunction="countNums" dataDxfId="540" totalsRowDxfId="539"/>
    <tableColumn id="1" xr3:uid="{D199AF36-9A80-43F4-A143-EDCBF648AD84}" name="Качество наблюдения" dataDxfId="538" totalsRowDxfId="53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6992589-0729-41C2-A6D1-562E05448765}" name="Дума_партии34" displayName="Дума_партии34" ref="A1:AN5" totalsRowCount="1" headerRowDxfId="536" dataDxfId="535" totalsRowDxfId="534">
  <autoFilter ref="A1:AN4" xr:uid="{05856A0A-FAEC-4712-B32A-2BDAF6280669}"/>
  <tableColumns count="40">
    <tableColumn id="5" xr3:uid="{7D9F3C1D-3AF7-4E6B-AD04-92E981C40D91}" name="ОИК" dataDxfId="533" totalsRowDxfId="532"/>
    <tableColumn id="53" xr3:uid="{D89B9D49-AD55-4B63-977E-BB3EEBC0BCBC}" name="УИК" totalsRowFunction="count" dataDxfId="531" totalsRowDxfId="530">
      <calculatedColumnFormula>SUMPRODUCT(MID(0&amp;A2, LARGE(INDEX(ISNUMBER(--MID(A2, ROW(INDIRECT("1:"&amp;LEN(A2))), 1)) * ROW(INDIRECT("1:"&amp;LEN(A2))), 0), ROW(INDIRECT("1:"&amp;LEN(A2))))+1, 1) * 10^ROW(INDIRECT("1:"&amp;LEN(A2)))/10)</calculatedColumnFormula>
    </tableColumn>
    <tableColumn id="54" xr3:uid="{BC746C54-F860-4547-9CC1-63E0C1101FCD}" name="Местоположение" dataDxfId="529" totalsRowDxfId="528"/>
    <tableColumn id="55" xr3:uid="{70617409-85D9-4CA3-A1F6-FAB4D78302D0}" name="Число избирателей, внесенных в список на момент окончания голосования" totalsRowFunction="sum" dataDxfId="527" totalsRowDxfId="526"/>
    <tableColumn id="6" xr3:uid="{0FC66609-17BF-4252-A39F-6157EEA86F98}" name="Вес участка" dataDxfId="525" totalsRowDxfId="524">
      <calculatedColumnFormula>D2</calculatedColumnFormula>
    </tableColumn>
    <tableColumn id="7" xr3:uid="{D4E2DE67-239A-43C6-83D9-74881BF0E446}" name="Число бюллетеней, полученных участковой избирательной комиссией" totalsRowFunction="sum" dataDxfId="523" totalsRowDxfId="522"/>
    <tableColumn id="8" xr3:uid="{C527780A-7BDB-4C20-B29B-D83C35CECC82}" name="Число бюллетеней, выданных избирателям, проголосовавшим досрочно в помещении территориальной избирательной комиссии" totalsRowFunction="sum" dataDxfId="521" totalsRowDxfId="520"/>
    <tableColumn id="9" xr3:uid="{93E6A8BE-D3AE-413D-BFF1-973F300A4414}" name="Число бюллетеней, выданных избирателям, в помещении для голосования в день голосования" totalsRowFunction="sum" dataDxfId="519" totalsRowDxfId="518"/>
    <tableColumn id="10" xr3:uid="{5C681A76-CA7C-4D72-ADEB-31187CCED2A0}" name="Число бюллетеней, выданных избирателям, проголосовавшим вне помещения для голосования в день голосования" totalsRowFunction="sum" dataDxfId="517" totalsRowDxfId="516"/>
    <tableColumn id="11" xr3:uid="{0D2C39E6-BCEA-481D-AD4A-AFCF6F00E17E}" name="Явка" dataDxfId="515" totalsRowDxfId="514">
      <calculatedColumnFormula>100*(H2+I2)/D2</calculatedColumnFormula>
    </tableColumn>
    <tableColumn id="12" xr3:uid="{6498E3E6-872E-41BC-83C6-761880EFFC6F}" name="Надомка от списка" dataDxfId="513" totalsRowDxfId="512">
      <calculatedColumnFormula>100*I2/D2</calculatedColumnFormula>
    </tableColumn>
    <tableColumn id="13" xr3:uid="{D67C4D6B-43E4-4536-91A7-66B4F3E00F9F}" name="Число погашенных бюллетеней" totalsRowFunction="sum" dataDxfId="511" totalsRowDxfId="510"/>
    <tableColumn id="14" xr3:uid="{5B57E4F3-34F9-4677-A636-DC9C4C0704B1}" name="Число бюллетеней, содержащихся в переносных ящиках для голосования" totalsRowFunction="sum" dataDxfId="509" totalsRowDxfId="508"/>
    <tableColumn id="15" xr3:uid="{8F10E698-4E0C-48CB-BED4-B09E5F38B5F3}" name="Число бюллетеней, содержащихся в стационарных ящиках для голосования" totalsRowFunction="sum" dataDxfId="507" totalsRowDxfId="506"/>
    <tableColumn id="16" xr3:uid="{6C85BEB7-7D11-4339-B013-51C7EBA48DC3}" name="Обнаружено" totalsRowFunction="sum" dataDxfId="505" totalsRowDxfId="504">
      <calculatedColumnFormula>M2+N2</calculatedColumnFormula>
    </tableColumn>
    <tableColumn id="17" xr3:uid="{9CFC45B1-A1A2-47AD-A8C3-BBD38F615F3B}" name="Надомка" dataDxfId="503" totalsRowDxfId="502">
      <calculatedColumnFormula>100*M2/O2</calculatedColumnFormula>
    </tableColumn>
    <tableColumn id="18" xr3:uid="{45035B18-2DD8-4DFB-B554-0CF2090E893B}" name="Число недействительных бюллетеней" totalsRowFunction="sum" dataDxfId="501" totalsRowDxfId="500"/>
    <tableColumn id="19" xr3:uid="{5D6BFCA8-621A-4791-8910-BD5396FA4E70}" name="Недействительных" dataDxfId="499" totalsRowDxfId="498">
      <calculatedColumnFormula>100*Q2/O2</calculatedColumnFormula>
    </tableColumn>
    <tableColumn id="20" xr3:uid="{EB9223C8-B96D-4540-BFE7-8AA5DEFAF941}" name="Число действительных бюллетеней" totalsRowFunction="sum" dataDxfId="497" totalsRowDxfId="496"/>
    <tableColumn id="21" xr3:uid="{2BF4CC80-E0AB-457D-8800-DCA3C2482082}" name="Число утраченных бюллетеней" totalsRowFunction="sum" dataDxfId="495" totalsRowDxfId="494"/>
    <tableColumn id="22" xr3:uid="{540B0D6D-0E1B-4614-82C7-DE21278B7292}" name="Число бюллетеней, не учтенных при получении" totalsRowFunction="sum" dataDxfId="493" totalsRowDxfId="492"/>
    <tableColumn id="23" xr3:uid="{461A1F80-D757-4A5B-8E30-C2BB1BCD8574}" name="Анищенков Николай Леонидович" totalsRowFunction="sum" dataDxfId="491" totalsRowDxfId="490"/>
    <tableColumn id="24" xr3:uid="{FDC553DF-201C-415F-9A17-C9BD4F1C3595}" name="Анищенков (ЕР)" dataDxfId="489" totalsRowDxfId="488">
      <calculatedColumnFormula>100*V2/$O2</calculatedColumnFormula>
    </tableColumn>
    <tableColumn id="25" xr3:uid="{C67BECCF-E1D9-4789-B4A4-F973F6A372F8}" name="Власов Олег Яковлевич" totalsRowFunction="sum" dataDxfId="487" totalsRowDxfId="486"/>
    <tableColumn id="26" xr3:uid="{5C2E9048-1595-4F13-92FB-1B4A9CC4AB01}" name="Власов" dataDxfId="485" totalsRowDxfId="484">
      <calculatedColumnFormula>100*X2/$O2</calculatedColumnFormula>
    </tableColumn>
    <tableColumn id="27" xr3:uid="{A18C2485-6B37-478F-8C7B-0D973CA18356}" name="Ганин Сергей Александрович" totalsRowFunction="sum" dataDxfId="483" totalsRowDxfId="482"/>
    <tableColumn id="28" xr3:uid="{97C722A6-8765-47CF-B0F8-4E1F023394E5}" name="Ганин" dataDxfId="481" totalsRowDxfId="480">
      <calculatedColumnFormula>100*Z2/$O2</calculatedColumnFormula>
    </tableColumn>
    <tableColumn id="29" xr3:uid="{A5A43972-E474-4001-9F67-0937D6ACE827}" name="Доронина Елена Геннадьевна" totalsRowFunction="sum" dataDxfId="479" totalsRowDxfId="478"/>
    <tableColumn id="30" xr3:uid="{1140CF3D-9008-4BCC-ACFE-EBC58CA66EAA}" name="Доронина" dataDxfId="477" totalsRowDxfId="476">
      <calculatedColumnFormula>100*AB2/$O2</calculatedColumnFormula>
    </tableColumn>
    <tableColumn id="3" xr3:uid="{3F19337C-AC8A-4414-A205-E6DBB8E7EEDA}" name="Калтайс Александр Валерьевич" totalsRowFunction="sum" dataDxfId="475" totalsRowDxfId="474"/>
    <tableColumn id="4" xr3:uid="{46F8B908-E958-4508-9171-EE4040B5C42C}" name="Калтайс (ЛДПР)" dataDxfId="473" totalsRowDxfId="472">
      <calculatedColumnFormula>100*AD2/$O2</calculatedColumnFormula>
    </tableColumn>
    <tableColumn id="35" xr3:uid="{8F0479B6-D17A-49B5-BBE4-86D36217F951}" name="Коротков Андрей Викторович" totalsRowFunction="sum" dataDxfId="471" totalsRowDxfId="470"/>
    <tableColumn id="36" xr3:uid="{463644FD-30DE-4B8C-8E11-E90AA7BA85B0}" name="Коротков (пенсионеров)" dataDxfId="469" totalsRowDxfId="468">
      <calculatedColumnFormula>100*AF2/$O2</calculatedColumnFormula>
    </tableColumn>
    <tableColumn id="31" xr3:uid="{E1A0FCDC-F397-467E-95ED-F3243F798605}" name="Михайлов Вадим Геннадьевич" totalsRowFunction="sum" dataDxfId="467" totalsRowDxfId="466"/>
    <tableColumn id="32" xr3:uid="{8E4BC863-0DE7-4C66-8186-82257EA5E0BE}" name="Михайлов (Родина)" dataDxfId="465" totalsRowDxfId="464"/>
    <tableColumn id="33" xr3:uid="{6969B46A-FC50-46DA-A7F9-2F01D74BD11E}" name="Хохлов Сергей Алексеевич" totalsRowFunction="sum" dataDxfId="463" totalsRowDxfId="462"/>
    <tableColumn id="34" xr3:uid="{38B2175A-7A1A-428F-BC53-D8E82DB26C27}" name="Хохлов (СР)" dataDxfId="461" totalsRowDxfId="460"/>
    <tableColumn id="60" xr3:uid="{5B8B0E30-6BDE-468E-80F7-A0FAE6FAADE6}" name="КОИБ" totalsRowFunction="countNums" totalsRowDxfId="459"/>
    <tableColumn id="52" xr3:uid="{CD77F68A-DA1E-4DBB-AEF1-E6BB24C3CE24}" name="Наблюдателей" totalsRowFunction="countNums" dataDxfId="458" totalsRowDxfId="457"/>
    <tableColumn id="1" xr3:uid="{093CBFF3-21DE-4577-9444-B288430B0F82}" name="Качество наблюдения" dataDxfId="456" totalsRowDxfId="45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8449C6D-0EF9-4F00-9F2E-E4891E05948C}" name="Дума_партии348" displayName="Дума_партии348" ref="A1:AJ6" totalsRowCount="1" headerRowDxfId="454" dataDxfId="453" totalsRowDxfId="452">
  <autoFilter ref="A1:AJ5" xr:uid="{05856A0A-FAEC-4712-B32A-2BDAF6280669}"/>
  <tableColumns count="36">
    <tableColumn id="5" xr3:uid="{DD7E7D11-97E7-4490-B5DD-55BD4DFF46A4}" name="ОИК" dataDxfId="451" totalsRowDxfId="450"/>
    <tableColumn id="53" xr3:uid="{DAF0F774-18E9-4EA8-B98A-6CA977AEC01E}" name="УИК" totalsRowFunction="count" dataDxfId="449" totalsRowDxfId="448"/>
    <tableColumn id="54" xr3:uid="{774D3C4B-D65F-4D24-9D03-F1C50F8A6DD2}" name="Местоположение" dataDxfId="447" totalsRowDxfId="446"/>
    <tableColumn id="55" xr3:uid="{10EFDC9E-7C3A-43F0-8E81-7F632198CCC8}" name="Число избирателей, внесенных в список на момент окончания голосования" totalsRowFunction="sum" dataDxfId="445" totalsRowDxfId="444"/>
    <tableColumn id="6" xr3:uid="{8B3EB2EA-B269-4BC7-9BDB-AFEDCA966AF0}" name="Вес участка" dataDxfId="443" totalsRowDxfId="442">
      <calculatedColumnFormula>D2</calculatedColumnFormula>
    </tableColumn>
    <tableColumn id="7" xr3:uid="{ED0A03D6-D339-4D05-BBF6-03AC1226376F}" name="Число бюллетеней, полученных участковой избирательной комиссией" totalsRowFunction="sum" dataDxfId="441" totalsRowDxfId="440"/>
    <tableColumn id="8" xr3:uid="{31C49D90-3DA6-475A-8CA0-CCC87D2E59A7}" name="Число бюллетеней, выданных избирателям, проголосовавшим досрочно в помещении территориальной избирательной комиссии" totalsRowFunction="sum" dataDxfId="439" totalsRowDxfId="438"/>
    <tableColumn id="9" xr3:uid="{BB72ADE7-E25B-466D-ADAB-7530250DDDB0}" name="Число бюллетеней, выданных избирателям, в помещении для голосования в день голосования" totalsRowFunction="sum" dataDxfId="437" totalsRowDxfId="436"/>
    <tableColumn id="10" xr3:uid="{F2A229F7-2BF0-40B3-B650-8B45B106ADCC}" name="Число бюллетеней, выданных избирателям, проголосовавшим вне помещения для голосования в день голосования" totalsRowFunction="sum" dataDxfId="435" totalsRowDxfId="434"/>
    <tableColumn id="11" xr3:uid="{7AFE0FA2-45C6-4C7D-B7DE-D567884BD7EC}" name="Явка" dataDxfId="433" totalsRowDxfId="432">
      <calculatedColumnFormula>100*(H2+I2)/D2</calculatedColumnFormula>
    </tableColumn>
    <tableColumn id="12" xr3:uid="{37973F0D-37C3-4CE2-8264-16E341989D3A}" name="Надомка от списка" dataDxfId="431" totalsRowDxfId="430">
      <calculatedColumnFormula>100*I2/D2</calculatedColumnFormula>
    </tableColumn>
    <tableColumn id="13" xr3:uid="{F1276F70-22EA-47C4-B5FC-63C25C5B8903}" name="Число погашенных бюллетеней" totalsRowFunction="sum" dataDxfId="429" totalsRowDxfId="428"/>
    <tableColumn id="14" xr3:uid="{97073D16-FD6E-431F-92D4-7936D2BFF285}" name="Число бюллетеней, содержащихся в переносных ящиках для голосования" totalsRowFunction="sum" dataDxfId="427" totalsRowDxfId="426"/>
    <tableColumn id="15" xr3:uid="{67EB0314-815C-4A67-8AD7-84E998DA5604}" name="Число бюллетеней, содержащихся в стационарных ящиках для голосования" totalsRowFunction="sum" dataDxfId="425" totalsRowDxfId="424"/>
    <tableColumn id="16" xr3:uid="{FCEDDE62-7278-458D-9782-03CA406914D3}" name="Обнаружено" totalsRowFunction="sum" dataDxfId="423" totalsRowDxfId="422">
      <calculatedColumnFormula>M2+N2</calculatedColumnFormula>
    </tableColumn>
    <tableColumn id="17" xr3:uid="{3FD48C44-5B82-4194-9751-A1681A15CE5C}" name="Надомка" dataDxfId="421" totalsRowDxfId="420">
      <calculatedColumnFormula>100*M2/O2</calculatedColumnFormula>
    </tableColumn>
    <tableColumn id="18" xr3:uid="{4370DA9C-147B-499A-A8DB-376D4627AE1D}" name="Число недействительных бюллетеней" totalsRowFunction="sum" dataDxfId="419" totalsRowDxfId="418"/>
    <tableColumn id="19" xr3:uid="{1B8AC419-44C2-48A3-B63C-122388CF71D3}" name="Недействительных" dataDxfId="417" totalsRowDxfId="416">
      <calculatedColumnFormula>100*Q2/O2</calculatedColumnFormula>
    </tableColumn>
    <tableColumn id="20" xr3:uid="{4459A921-EE3B-434C-AA5E-98572FEF45A5}" name="Число действительных бюллетеней" totalsRowFunction="sum" dataDxfId="415" totalsRowDxfId="414"/>
    <tableColumn id="21" xr3:uid="{06319475-C556-4FFE-9473-8C9EDC5BEA79}" name="Число утраченных бюллетеней" totalsRowFunction="sum" dataDxfId="413" totalsRowDxfId="412"/>
    <tableColumn id="22" xr3:uid="{30E3E855-CE4F-4495-BD94-1C19998007BD}" name="Число бюллетеней, не учтенных при получении" totalsRowFunction="sum" dataDxfId="411" totalsRowDxfId="410"/>
    <tableColumn id="23" xr3:uid="{F243933B-FC54-4A8D-96CD-C8EDD1EAD9F3}" name="Вереина Ирина Алексеевна" totalsRowFunction="sum" dataDxfId="409" totalsRowDxfId="408"/>
    <tableColumn id="24" xr3:uid="{71D70DD7-01C0-4413-9A2F-2EE5A6902043}" name="Вереина (ЕР)" dataDxfId="407" totalsRowDxfId="406">
      <calculatedColumnFormula>100*V2/$O2</calculatedColumnFormula>
    </tableColumn>
    <tableColumn id="25" xr3:uid="{D44CA990-1B62-4782-A2F7-605AD1CB2436}" name="Паршков Максим Борисович" totalsRowFunction="sum" dataDxfId="405" totalsRowDxfId="404"/>
    <tableColumn id="26" xr3:uid="{49AA267E-32E3-4AE9-BE76-11A04259B8DD}" name="Паршков (пенсионеров)" dataDxfId="403" totalsRowDxfId="402">
      <calculatedColumnFormula>100*X2/$O2</calculatedColumnFormula>
    </tableColumn>
    <tableColumn id="27" xr3:uid="{0BD09279-D3EB-4313-B7B1-DBD75990882C}" name="Поляков Николай Евгеньевич" totalsRowFunction="sum" dataDxfId="401" totalsRowDxfId="400"/>
    <tableColumn id="28" xr3:uid="{1B0BA795-C8F8-4E76-8057-D911CAF52BCE}" name="Поляков (ЛДПР)" dataDxfId="399" totalsRowDxfId="398">
      <calculatedColumnFormula>100*Z2/$O2</calculatedColumnFormula>
    </tableColumn>
    <tableColumn id="29" xr3:uid="{5F2BA25B-3FD4-4452-B722-9727ED3412C9}" name="Хвингия Ирина Сергеевна" totalsRowFunction="sum" dataDxfId="397" totalsRowDxfId="396"/>
    <tableColumn id="30" xr3:uid="{5CDBB3CF-03B3-4CF9-A29F-B906431444B4}" name="Хвингия (Родина)" dataDxfId="395" totalsRowDxfId="394">
      <calculatedColumnFormula>100*AB2/$O2</calculatedColumnFormula>
    </tableColumn>
    <tableColumn id="3" xr3:uid="{6CFA5263-976E-4B1F-8786-290D501BFB40}" name="Шалакова Светлана Алексеевна" totalsRowFunction="sum" dataDxfId="393" totalsRowDxfId="392"/>
    <tableColumn id="4" xr3:uid="{08EF0427-C101-4D16-8CF5-E462152C8F66}" name="Шалакова" dataDxfId="391" totalsRowDxfId="390">
      <calculatedColumnFormula>100*AD2/$O2</calculatedColumnFormula>
    </tableColumn>
    <tableColumn id="35" xr3:uid="{466A538C-0A9D-4867-981E-1D12564175E4}" name="Щемелева Валентина Анатольевна" totalsRowFunction="sum" dataDxfId="389" totalsRowDxfId="388"/>
    <tableColumn id="36" xr3:uid="{42A40917-E8A1-412A-A3A5-CB70AFF7BF0D}" name="Щемелева (СР)" dataDxfId="387" totalsRowDxfId="386">
      <calculatedColumnFormula>100*AF2/$O2</calculatedColumnFormula>
    </tableColumn>
    <tableColumn id="60" xr3:uid="{C1A7DB76-B8E2-4698-80C1-E935353200BF}" name="КОИБ" totalsRowFunction="countNums" totalsRowDxfId="385"/>
    <tableColumn id="52" xr3:uid="{076EF2B2-160E-4A1C-9492-0F85ED310C38}" name="Наблюдателей" totalsRowFunction="countNums" dataDxfId="384" totalsRowDxfId="383"/>
    <tableColumn id="1" xr3:uid="{2F7C04AF-91A2-41A4-9B24-DB33716BDE33}" name="Качество наблюдения" dataDxfId="382" totalsRowDxfId="38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39FD491-0EEE-47AC-B72B-B3434EA78AF9}" name="Дума_партии349" displayName="Дума_партии349" ref="A1:AH5" totalsRowCount="1" headerRowDxfId="380" dataDxfId="379" totalsRowDxfId="378">
  <autoFilter ref="A1:AH4" xr:uid="{05856A0A-FAEC-4712-B32A-2BDAF6280669}"/>
  <tableColumns count="34">
    <tableColumn id="5" xr3:uid="{2ED272D0-7CDE-4472-B42B-387FA3E82761}" name="ОИК" dataDxfId="377" totalsRowDxfId="376"/>
    <tableColumn id="53" xr3:uid="{441FF576-FD65-459D-865A-A0DCD43F295B}" name="УИК" totalsRowFunction="count" dataDxfId="375" totalsRowDxfId="374"/>
    <tableColumn id="54" xr3:uid="{BB8B0C64-63EE-4B2C-B558-7D1551123474}" name="Местоположение" dataDxfId="373" totalsRowDxfId="372"/>
    <tableColumn id="55" xr3:uid="{AACB5DC7-458E-4D6D-A674-63EC6A2759B7}" name="Число избирателей, внесенных в список на момент окончания голосования" totalsRowFunction="sum" dataDxfId="371" totalsRowDxfId="370"/>
    <tableColumn id="6" xr3:uid="{02759C45-2322-49E1-920E-D1000D49F4FC}" name="Вес участка" dataDxfId="369" totalsRowDxfId="368">
      <calculatedColumnFormula>D2</calculatedColumnFormula>
    </tableColumn>
    <tableColumn id="7" xr3:uid="{6A80C7BB-C642-4D9D-8B0E-ED3674208908}" name="Число бюллетеней, полученных участковой избирательной комиссией" totalsRowFunction="sum" dataDxfId="367" totalsRowDxfId="366"/>
    <tableColumn id="8" xr3:uid="{4152FCEB-2C05-47BA-AF5A-BD078DEA5E97}" name="Число бюллетеней, выданных избирателям, проголосовавшим досрочно в помещении территориальной избирательной комиссии" totalsRowFunction="sum" dataDxfId="365" totalsRowDxfId="364"/>
    <tableColumn id="9" xr3:uid="{435A7A43-864F-40DD-B899-9240D3E6FCAB}" name="Число бюллетеней, выданных избирателям, в помещении для голосования в день голосования" totalsRowFunction="sum" dataDxfId="363" totalsRowDxfId="362"/>
    <tableColumn id="10" xr3:uid="{ED5AA4D3-8854-4386-8E06-8364EFDCEDD4}" name="Число бюллетеней, выданных избирателям, проголосовавшим вне помещения для голосования в день голосования" totalsRowFunction="sum" dataDxfId="361" totalsRowDxfId="360"/>
    <tableColumn id="11" xr3:uid="{30FF22E3-E38C-4B55-A534-9CD23C6FEB8F}" name="Явка" dataDxfId="359" totalsRowDxfId="358">
      <calculatedColumnFormula>100*(H2+I2)/D2</calculatedColumnFormula>
    </tableColumn>
    <tableColumn id="12" xr3:uid="{ABCBCCC1-E366-4CD0-9C84-9EFFCC9F4521}" name="Надомка от списка" dataDxfId="357" totalsRowDxfId="356">
      <calculatedColumnFormula>100*I2/D2</calculatedColumnFormula>
    </tableColumn>
    <tableColumn id="13" xr3:uid="{D87FCA75-5B41-40E6-9674-DAC8CED9D34E}" name="Число погашенных бюллетеней" totalsRowFunction="sum" dataDxfId="355" totalsRowDxfId="354"/>
    <tableColumn id="14" xr3:uid="{6189F399-86C8-4621-B6AB-DCDE76E868BB}" name="Число бюллетеней, содержащихся в переносных ящиках для голосования" totalsRowFunction="sum" totalsRowDxfId="353"/>
    <tableColumn id="15" xr3:uid="{ECAA002A-A156-4EAB-B20A-0D821C2753E3}" name="Число бюллетеней, содержащихся в стационарных ящиках для голосования" totalsRowFunction="sum" dataDxfId="352" totalsRowDxfId="351"/>
    <tableColumn id="16" xr3:uid="{A62070B1-0E5D-49E5-BA5E-39D09BC05A2B}" name="Обнаружено" totalsRowFunction="sum" dataDxfId="350" totalsRowDxfId="349">
      <calculatedColumnFormula>M2+N2</calculatedColumnFormula>
    </tableColumn>
    <tableColumn id="17" xr3:uid="{CE8B53BC-3893-4DCE-A50D-9293AD25D3A0}" name="Надомка" dataDxfId="348" totalsRowDxfId="347">
      <calculatedColumnFormula>100*M2/O2</calculatedColumnFormula>
    </tableColumn>
    <tableColumn id="18" xr3:uid="{E6304A8E-66DB-44F5-A165-65D41A94C506}" name="Число недействительных бюллетеней" totalsRowFunction="sum" dataDxfId="346" totalsRowDxfId="345"/>
    <tableColumn id="19" xr3:uid="{1399190C-72ED-4A57-8803-1ADB9EA71094}" name="Недействительных" dataDxfId="344" totalsRowDxfId="343">
      <calculatedColumnFormula>100*Q2/O2</calculatedColumnFormula>
    </tableColumn>
    <tableColumn id="20" xr3:uid="{816B18CE-5D32-47A7-B61A-E332C39BFAC7}" name="Число действительных бюллетеней" totalsRowFunction="sum" dataDxfId="342" totalsRowDxfId="341"/>
    <tableColumn id="21" xr3:uid="{0B69F85E-2DAE-4C30-AFD6-0542F4A7B9B9}" name="Число утраченных бюллетеней" totalsRowFunction="sum" dataDxfId="340" totalsRowDxfId="339"/>
    <tableColumn id="22" xr3:uid="{C2E7C6D7-060F-4B05-AC4C-524BAE11ADC6}" name="Число бюллетеней, не учтенных при получении" totalsRowFunction="sum" dataDxfId="338" totalsRowDxfId="337"/>
    <tableColumn id="23" xr3:uid="{EEB8C26B-57A2-49FD-A6B9-B5D28AF84045}" name="Байдаков Эдуард Михайлович" totalsRowFunction="sum" dataDxfId="336" totalsRowDxfId="335"/>
    <tableColumn id="24" xr3:uid="{F2F9D2E7-D529-425F-8FB2-6B68AE4E6248}" name="Байдаков (пенсионеров)" dataDxfId="334" totalsRowDxfId="333">
      <calculatedColumnFormula>100*V2/$O2</calculatedColumnFormula>
    </tableColumn>
    <tableColumn id="25" xr3:uid="{A365851F-3D5A-46B4-9818-D650D124C4D2}" name="Вишнякова Елена Константиновна" totalsRowFunction="sum" dataDxfId="332" totalsRowDxfId="331"/>
    <tableColumn id="26" xr3:uid="{FC622D0E-4964-48E2-AA79-F9CA2E741F81}" name="Вишнякова (ЕР)" dataDxfId="330" totalsRowDxfId="329">
      <calculatedColumnFormula>100*X2/$O2</calculatedColumnFormula>
    </tableColumn>
    <tableColumn id="27" xr3:uid="{7F2BEF36-2FDB-4E69-8881-D60B3F21560F}" name="Максимов Тимофей Андреевич" totalsRowFunction="sum" dataDxfId="328" totalsRowDxfId="327"/>
    <tableColumn id="28" xr3:uid="{A00B7250-B79F-43C5-82C3-81F1D141C3F3}" name="Максимов (СР)" dataDxfId="326" totalsRowDxfId="325">
      <calculatedColumnFormula>100*Z2/$O2</calculatedColumnFormula>
    </tableColumn>
    <tableColumn id="29" xr3:uid="{1AB43053-2741-417C-966F-A8471854ECCC}" name="Нарватов Михаил Васильевич" totalsRowFunction="sum" dataDxfId="324" totalsRowDxfId="323"/>
    <tableColumn id="30" xr3:uid="{2200A5E3-C880-43BB-97DF-FD015D4CFE94}" name="Нарватов" dataDxfId="322" totalsRowDxfId="321">
      <calculatedColumnFormula>100*AB2/$O2</calculatedColumnFormula>
    </tableColumn>
    <tableColumn id="3" xr3:uid="{D747EF5C-374F-447A-8430-8579FC2B6F9D}" name="Таранова Наталья Васильевна" totalsRowFunction="sum" dataDxfId="320" totalsRowDxfId="319"/>
    <tableColumn id="4" xr3:uid="{36C3C047-6150-46C7-A5F7-BE52A5C39AA7}" name="Таранова (ЛДПР)" dataDxfId="318" totalsRowDxfId="317">
      <calculatedColumnFormula>100*AD2/$O2</calculatedColumnFormula>
    </tableColumn>
    <tableColumn id="60" xr3:uid="{A0E22711-841E-40C2-9515-2169683EBAE3}" name="КОИБ" totalsRowFunction="countNums" totalsRowDxfId="316"/>
    <tableColumn id="52" xr3:uid="{932B1559-9166-4AC9-9B6B-C1A67A4EACCE}" name="Наблюдателей" totalsRowFunction="countNums" dataDxfId="315" totalsRowDxfId="314"/>
    <tableColumn id="1" xr3:uid="{37A04C36-62D6-464A-948A-384FEB39EEBD}" name="Качество наблюдения" dataDxfId="313" totalsRowDxfId="31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E6FEE8D-46DB-46A0-8A4A-326D2582599F}" name="Дума_партии3410" displayName="Дума_партии3410" ref="A1:AL4" totalsRowCount="1" headerRowDxfId="311" dataDxfId="310" totalsRowDxfId="309">
  <autoFilter ref="A1:AL3" xr:uid="{05856A0A-FAEC-4712-B32A-2BDAF6280669}"/>
  <tableColumns count="38">
    <tableColumn id="5" xr3:uid="{DDBAD564-63F7-4807-BA91-A291B7F23800}" name="ОИК" dataDxfId="308" totalsRowDxfId="307"/>
    <tableColumn id="53" xr3:uid="{EC405EEF-AD88-4F42-9A05-279DD2AD6888}" name="УИК" totalsRowFunction="count" dataDxfId="306" totalsRowDxfId="305"/>
    <tableColumn id="54" xr3:uid="{363EC2E3-0A66-4A0C-A970-CA43CE8E921B}" name="Местоположение" dataDxfId="304" totalsRowDxfId="303"/>
    <tableColumn id="55" xr3:uid="{E234B9E1-7574-40E3-9549-C45DDBC30E88}" name="Число избирателей, внесенных в список на момент окончания голосования" totalsRowFunction="sum" dataDxfId="302" totalsRowDxfId="301"/>
    <tableColumn id="6" xr3:uid="{C48D30A5-0F2F-4626-950A-45090C8C3467}" name="Вес участка" dataDxfId="300" totalsRowDxfId="299">
      <calculatedColumnFormula>D2</calculatedColumnFormula>
    </tableColumn>
    <tableColumn id="7" xr3:uid="{F4759B05-0ECB-4184-B9B1-C76B5C21A673}" name="Число бюллетеней, полученных участковой избирательной комиссией" totalsRowFunction="sum" dataDxfId="298" totalsRowDxfId="297"/>
    <tableColumn id="8" xr3:uid="{F00BCFF4-D59B-41A2-B78E-F18D6D65705A}" name="Число бюллетеней, выданных избирателям, проголосовавшим досрочно в помещении территориальной избирательной комиссии" totalsRowFunction="sum" dataDxfId="296" totalsRowDxfId="295"/>
    <tableColumn id="9" xr3:uid="{435E316F-70E3-4A40-84A2-CF2011E7172A}" name="Число бюллетеней, выданных избирателям, в помещении для голосования в день голосования" totalsRowFunction="sum" dataDxfId="294" totalsRowDxfId="293"/>
    <tableColumn id="10" xr3:uid="{1F5368D2-1CED-4ED7-878F-D97FEE6CD67D}" name="Число бюллетеней, выданных избирателям, проголосовавшим вне помещения для голосования в день голосования" totalsRowFunction="sum" dataDxfId="292" totalsRowDxfId="291"/>
    <tableColumn id="11" xr3:uid="{14B16AF9-648D-4A5E-8758-60586E0986EC}" name="Явка" dataDxfId="290" totalsRowDxfId="289">
      <calculatedColumnFormula>100*(H2+I2)/D2</calculatedColumnFormula>
    </tableColumn>
    <tableColumn id="12" xr3:uid="{2CF5035F-4E33-4ABB-8A96-277492B292F5}" name="Надомка от списка" dataDxfId="288" totalsRowDxfId="287">
      <calculatedColumnFormula>100*I2/D2</calculatedColumnFormula>
    </tableColumn>
    <tableColumn id="13" xr3:uid="{782639E4-DD8D-4888-8C5A-754AA2F5DEE5}" name="Число погашенных бюллетеней" totalsRowFunction="sum" dataDxfId="286" totalsRowDxfId="285"/>
    <tableColumn id="14" xr3:uid="{07280096-EB36-42ED-8449-4E58907DB506}" name="Число бюллетеней, содержащихся в переносных ящиках для голосования" totalsRowFunction="sum" dataDxfId="284" totalsRowDxfId="283"/>
    <tableColumn id="15" xr3:uid="{DDD99F29-A694-4BB2-A429-266D2FC8BFA5}" name="Число бюллетеней, содержащихся в стационарных ящиках для голосования" totalsRowFunction="sum" dataDxfId="282" totalsRowDxfId="281"/>
    <tableColumn id="16" xr3:uid="{61FD7C12-5E40-4E14-9398-B9F05960201C}" name="Обнаружено" totalsRowFunction="sum" dataDxfId="280" totalsRowDxfId="279">
      <calculatedColumnFormula>M2+N2</calculatedColumnFormula>
    </tableColumn>
    <tableColumn id="17" xr3:uid="{ED8918D3-AA3E-4D04-A373-7085F780FCDB}" name="Надомка" dataDxfId="278" totalsRowDxfId="277">
      <calculatedColumnFormula>100*M2/O2</calculatedColumnFormula>
    </tableColumn>
    <tableColumn id="18" xr3:uid="{84D8F0CB-3662-4E37-9D32-480F2BE419C7}" name="Число недействительных бюллетеней" totalsRowFunction="sum" dataDxfId="276" totalsRowDxfId="275"/>
    <tableColumn id="19" xr3:uid="{658801FD-2AA8-4E27-949F-DC0BAB383D5F}" name="Недействительных" dataDxfId="274" totalsRowDxfId="273">
      <calculatedColumnFormula>100*Q2/O2</calculatedColumnFormula>
    </tableColumn>
    <tableColumn id="20" xr3:uid="{2AB1B91C-1472-44E1-B840-78B1089EEBCB}" name="Число действительных бюллетеней" totalsRowFunction="sum" dataDxfId="272" totalsRowDxfId="271"/>
    <tableColumn id="21" xr3:uid="{D8337963-18AA-432E-9CE6-F8577C476FC1}" name="Число утраченных бюллетеней" totalsRowFunction="sum" dataDxfId="270" totalsRowDxfId="269"/>
    <tableColumn id="22" xr3:uid="{1B08AB74-F45F-4325-9CAE-DE3FA7A7C9C4}" name="Число бюллетеней, не учтенных при получении" totalsRowFunction="sum" dataDxfId="268" totalsRowDxfId="267"/>
    <tableColumn id="23" xr3:uid="{E0FFC96A-3ABD-4D2E-85AD-28121F3E8447}" name="Баранов Дмитрий Александрович" totalsRowFunction="sum" dataDxfId="266" totalsRowDxfId="265"/>
    <tableColumn id="24" xr3:uid="{9C5F2C88-232D-4994-BA28-F761B210B5CC}" name="Баранов (ЕР)" dataDxfId="264" totalsRowDxfId="263">
      <calculatedColumnFormula>100*V2/$O2</calculatedColumnFormula>
    </tableColumn>
    <tableColumn id="25" xr3:uid="{281206E1-EE6D-4C9A-A2BB-CCA192A41EFF}" name="Буланкин Сергей Владимирович" totalsRowFunction="sum" dataDxfId="262" totalsRowDxfId="261"/>
    <tableColumn id="26" xr3:uid="{9EA2B012-CCE4-41A3-9A1C-A2C3ABF07558}" name="Буланкин (СР)" dataDxfId="260" totalsRowDxfId="259">
      <calculatedColumnFormula>100*X2/$O2</calculatedColumnFormula>
    </tableColumn>
    <tableColumn id="27" xr3:uid="{49955D68-8035-4B37-91A7-FBACF64CAA06}" name="Губанова Валерия Арипхановна" totalsRowFunction="sum" dataDxfId="258" totalsRowDxfId="257"/>
    <tableColumn id="28" xr3:uid="{77F9BAD2-94EE-47D9-982E-F3224980625E}" name="Губанова (пенсионеров)" dataDxfId="256" totalsRowDxfId="255">
      <calculatedColumnFormula>100*Z2/$O2</calculatedColumnFormula>
    </tableColumn>
    <tableColumn id="29" xr3:uid="{11039B91-60F5-4DFE-950E-C9DB61DFAC59}" name="Нечаева Дарья Алексеевна" totalsRowFunction="sum" dataDxfId="254" totalsRowDxfId="253"/>
    <tableColumn id="30" xr3:uid="{FCB6630B-2CFC-4BB0-877A-BE5B318FC691}" name="Нечаева (Новые люди)" dataDxfId="252" totalsRowDxfId="251">
      <calculatedColumnFormula>100*AB2/$O2</calculatedColumnFormula>
    </tableColumn>
    <tableColumn id="3" xr3:uid="{632EA288-F5D9-476F-888E-8EC53BB6CB1B}" name="Соловьев Андрей Егорович" totalsRowFunction="sum" dataDxfId="250" totalsRowDxfId="249"/>
    <tableColumn id="4" xr3:uid="{5639A2DE-740D-4BFE-85A8-AB371942CCEF}" name="Соловьев (ЛДПР)" dataDxfId="248" totalsRowDxfId="247">
      <calculatedColumnFormula>100*AD2/$O2</calculatedColumnFormula>
    </tableColumn>
    <tableColumn id="35" xr3:uid="{955E7480-F154-45F4-AA40-9843DE2E5186}" name="Соломатина Мария Алексеевна" totalsRowFunction="sum" dataDxfId="246" totalsRowDxfId="245"/>
    <tableColumn id="36" xr3:uid="{64151B86-6AD3-4AAA-BBD8-E74689460A8B}" name="Соломатина (Родина)" dataDxfId="244" totalsRowDxfId="243">
      <calculatedColumnFormula>100*AF2/$O2</calculatedColumnFormula>
    </tableColumn>
    <tableColumn id="31" xr3:uid="{2FD3AF4F-E4D0-49F9-BEA9-EA8FD76136F3}" name="Цилина Ольга Викторовна" totalsRowFunction="sum" dataDxfId="242" totalsRowDxfId="241"/>
    <tableColumn id="32" xr3:uid="{AAD216FB-B519-4BC9-9C62-74B48DAFD601}" name="Цилина" dataDxfId="240" totalsRowDxfId="239">
      <calculatedColumnFormula>100*AH2/$O2</calculatedColumnFormula>
    </tableColumn>
    <tableColumn id="60" xr3:uid="{31C49F45-E061-4A20-B76C-DFF685EC219E}" name="КОИБ" totalsRowFunction="countNums" totalsRowDxfId="238"/>
    <tableColumn id="52" xr3:uid="{F8834BE3-1D02-441F-A530-6104E205954E}" name="Наблюдателей" totalsRowFunction="countNums" dataDxfId="237" totalsRowDxfId="236"/>
    <tableColumn id="1" xr3:uid="{4291D64E-CDE6-4BD3-965B-8A2EC8B205A7}" name="Качество наблюдения" dataDxfId="235" totalsRowDxfId="23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AF3152D-7B8D-4022-98A7-4AA408E7E430}" name="Дума_партии3411" displayName="Дума_партии3411" ref="A1:AN5" totalsRowCount="1" headerRowDxfId="233" dataDxfId="232" totalsRowDxfId="231">
  <autoFilter ref="A1:AN4" xr:uid="{05856A0A-FAEC-4712-B32A-2BDAF6280669}"/>
  <tableColumns count="40">
    <tableColumn id="5" xr3:uid="{D7E29F1B-CF21-42B8-B791-E9346C9069D7}" name="ОИК" dataDxfId="230" totalsRowDxfId="229"/>
    <tableColumn id="53" xr3:uid="{CE406299-E5A1-4E65-840A-A3ECB847C372}" name="УИК" totalsRowFunction="count" dataDxfId="228" totalsRowDxfId="227"/>
    <tableColumn id="54" xr3:uid="{22631465-FA92-491F-B8A9-E825372B3FD5}" name="Местоположение" dataDxfId="226" totalsRowDxfId="225"/>
    <tableColumn id="55" xr3:uid="{E272D52D-61F7-4E8E-9DC0-0BFCC0CF3BF3}" name="Число избирателей, внесенных в список на момент окончания голосования" totalsRowFunction="sum" dataDxfId="224" totalsRowDxfId="223"/>
    <tableColumn id="6" xr3:uid="{6CC1F71C-F30D-4E6D-B7C6-43D7D914AF0E}" name="Вес участка" dataDxfId="222" totalsRowDxfId="221">
      <calculatedColumnFormula>D2</calculatedColumnFormula>
    </tableColumn>
    <tableColumn id="7" xr3:uid="{A3498DD3-CDE6-4B14-80C0-5CDE9570CCEC}" name="Число бюллетеней, полученных участковой избирательной комиссией" totalsRowFunction="sum" dataDxfId="220" totalsRowDxfId="219"/>
    <tableColumn id="8" xr3:uid="{75941843-8E34-4E7C-8372-51D3EA5FA1B9}" name="Число бюллетеней, выданных избирателям, проголосовавшим досрочно в помещении территориальной избирательной комиссии" totalsRowFunction="sum" dataDxfId="218" totalsRowDxfId="217"/>
    <tableColumn id="9" xr3:uid="{64AF2AA2-CB07-42E1-A457-E7D8677A2FC1}" name="Число бюллетеней, выданных избирателям, в помещении для голосования в день голосования" totalsRowFunction="sum" dataDxfId="216" totalsRowDxfId="215"/>
    <tableColumn id="10" xr3:uid="{80CC9EFC-1596-4989-BA08-9411412F3198}" name="Число бюллетеней, выданных избирателям, проголосовавшим вне помещения для голосования в день голосования" totalsRowFunction="sum" dataDxfId="214" totalsRowDxfId="213"/>
    <tableColumn id="11" xr3:uid="{A0893869-0B2D-4322-B03B-855AB2074640}" name="Явка" dataDxfId="212" totalsRowDxfId="211">
      <calculatedColumnFormula>100*(H2+I2)/D2</calculatedColumnFormula>
    </tableColumn>
    <tableColumn id="12" xr3:uid="{EF8D1CC4-BAE4-4069-B918-60EDE21CF90B}" name="Надомка от списка" dataDxfId="210" totalsRowDxfId="209">
      <calculatedColumnFormula>100*I2/D2</calculatedColumnFormula>
    </tableColumn>
    <tableColumn id="13" xr3:uid="{EE9BDD0D-8F80-4402-BFA8-A271B6F16AE2}" name="Число погашенных бюллетеней" totalsRowFunction="sum" dataDxfId="208" totalsRowDxfId="207"/>
    <tableColumn id="14" xr3:uid="{B491030B-D48A-4C83-B256-54AC599097BE}" name="Число бюллетеней, содержащихся в переносных ящиках для голосования" totalsRowFunction="sum" dataDxfId="206" totalsRowDxfId="205"/>
    <tableColumn id="15" xr3:uid="{515DE14D-081E-4DD0-A0A7-C00C174B5B2D}" name="Число бюллетеней, содержащихся в стационарных ящиках для голосования" totalsRowFunction="sum" dataDxfId="204" totalsRowDxfId="203"/>
    <tableColumn id="16" xr3:uid="{7D2E27BB-4CB5-476B-8576-4E37A20D60C0}" name="Обнаружено" totalsRowFunction="sum" dataDxfId="202" totalsRowDxfId="201">
      <calculatedColumnFormula>M2+N2</calculatedColumnFormula>
    </tableColumn>
    <tableColumn id="17" xr3:uid="{6D178B6C-2FA8-46EE-B063-5F4567ADF2CA}" name="Надомка" dataDxfId="200" totalsRowDxfId="199">
      <calculatedColumnFormula>100*M2/O2</calculatedColumnFormula>
    </tableColumn>
    <tableColumn id="18" xr3:uid="{4D9A0083-59D4-4C47-9177-2A78E5BAD0D9}" name="Число недействительных бюллетеней" totalsRowFunction="sum" dataDxfId="198" totalsRowDxfId="197"/>
    <tableColumn id="19" xr3:uid="{0AE4076E-D88F-4688-B5A5-D74E3C8A789B}" name="Недействительных" dataDxfId="196" totalsRowDxfId="195">
      <calculatedColumnFormula>100*Q2/O2</calculatedColumnFormula>
    </tableColumn>
    <tableColumn id="20" xr3:uid="{06071116-1917-4624-AEF6-76C8F789AE7B}" name="Число действительных бюллетеней" totalsRowFunction="sum" dataDxfId="194" totalsRowDxfId="193"/>
    <tableColumn id="21" xr3:uid="{AA04B72F-DD3E-43FE-8641-7F1D102BE259}" name="Число утраченных бюллетеней" totalsRowFunction="sum" dataDxfId="192" totalsRowDxfId="191"/>
    <tableColumn id="22" xr3:uid="{66C6B52B-C8F4-4E37-ACC4-08DC71772BAF}" name="Число бюллетеней, не учтенных при получении" totalsRowFunction="sum" dataDxfId="190" totalsRowDxfId="189"/>
    <tableColumn id="23" xr3:uid="{5A0612AE-71F0-4D98-81B7-65819FF99F6C}" name="Борисов Михаил Сергеевич" totalsRowFunction="sum" dataDxfId="188" totalsRowDxfId="187"/>
    <tableColumn id="24" xr3:uid="{F222B27F-AC5E-43EE-8B2F-8F038020209F}" name="Борисов (СР)" dataDxfId="186" totalsRowDxfId="185">
      <calculatedColumnFormula>100*V2/$O2</calculatedColumnFormula>
    </tableColumn>
    <tableColumn id="25" xr3:uid="{365A558D-A3D4-4AE9-9EE6-802519948B32}" name="Галетов Иван Дмитриевич" totalsRowFunction="sum" dataDxfId="184" totalsRowDxfId="183"/>
    <tableColumn id="26" xr3:uid="{59FAB14F-3303-4962-9170-D404AB40B313}" name="Галетов" dataDxfId="182" totalsRowDxfId="181">
      <calculatedColumnFormula>100*X2/$O2</calculatedColumnFormula>
    </tableColumn>
    <tableColumn id="27" xr3:uid="{3B9C22CF-CE46-44E4-BC7F-862654CE1620}" name="Григорьев Олег Валерьевич" totalsRowFunction="sum" dataDxfId="180" totalsRowDxfId="179"/>
    <tableColumn id="28" xr3:uid="{C095E621-DA3B-44EC-86DA-DB873D8B9747}" name="Григорьев (Новые люди)" dataDxfId="178" totalsRowDxfId="177">
      <calculatedColumnFormula>100*Z2/$O2</calculatedColumnFormula>
    </tableColumn>
    <tableColumn id="29" xr3:uid="{37B34C1B-956F-40DF-B0A3-D62D1B91665C}" name="Клюев Никита Максимович" totalsRowFunction="sum" dataDxfId="176" totalsRowDxfId="175"/>
    <tableColumn id="30" xr3:uid="{6DC288A7-0D4B-495A-BE76-5EC60AF3EB99}" name="Клюев (ЛДПР)" dataDxfId="174" totalsRowDxfId="173">
      <calculatedColumnFormula>100*AB2/$O2</calculatedColumnFormula>
    </tableColumn>
    <tableColumn id="3" xr3:uid="{E194BBBB-681B-44B4-87BD-D290F6E36072}" name="Кухаренко Владимир Вячеславович" totalsRowFunction="sum" dataDxfId="172" totalsRowDxfId="171"/>
    <tableColumn id="4" xr3:uid="{4E6948EE-2316-4806-BE23-E3ACE3963AD7}" name="Кухаренко (Родина)" dataDxfId="170" totalsRowDxfId="169">
      <calculatedColumnFormula>100*AD2/$O2</calculatedColumnFormula>
    </tableColumn>
    <tableColumn id="35" xr3:uid="{9F48BE2F-B48C-4E78-9E8A-7EFE4200D596}" name="Пичугина Зоя Ивановна" totalsRowFunction="sum" dataDxfId="168" totalsRowDxfId="167"/>
    <tableColumn id="36" xr3:uid="{D2CC43A1-7651-4A61-A497-988974D41807}" name="Пичугина (пенсионеров)" dataDxfId="166" totalsRowDxfId="165">
      <calculatedColumnFormula>100*AF2/$O2</calculatedColumnFormula>
    </tableColumn>
    <tableColumn id="31" xr3:uid="{2EFB0100-4C5A-454D-8B3E-AEC4974655C3}" name="Слуцкий Александр Владимирович" totalsRowFunction="sum" dataDxfId="164" totalsRowDxfId="163"/>
    <tableColumn id="32" xr3:uid="{0D44CD55-C627-4CD5-A9AA-C6F187460895}" name="Слуцкий (ЕР)" dataDxfId="162" totalsRowDxfId="161">
      <calculatedColumnFormula>100*AH2/$O2</calculatedColumnFormula>
    </tableColumn>
    <tableColumn id="33" xr3:uid="{D00593D2-6FDC-4A71-A430-10F31E227FA1}" name="Якушева Ирина Вячеславовна" totalsRowFunction="sum" dataDxfId="160" totalsRowDxfId="159"/>
    <tableColumn id="34" xr3:uid="{8242F638-0677-43F1-B285-621EE7A0E7C0}" name="Якушева" dataDxfId="158" totalsRowDxfId="157">
      <calculatedColumnFormula>100*AJ2/$O2</calculatedColumnFormula>
    </tableColumn>
    <tableColumn id="60" xr3:uid="{180DD966-4421-4B83-9203-9C169BF832ED}" name="КОИБ" totalsRowFunction="countNums" totalsRowDxfId="156"/>
    <tableColumn id="52" xr3:uid="{2B6CA1EC-0ED9-4000-A441-FE9CB710EFA5}" name="Наблюдателей" totalsRowFunction="countNums" dataDxfId="155" totalsRowDxfId="154"/>
    <tableColumn id="1" xr3:uid="{AC5239A1-C268-4C9F-B0EB-EF40FC2DB0BE}" name="Качество наблюдения" dataDxfId="153" totalsRowDxfId="15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4.xml"/><Relationship Id="rId1" Type="http://schemas.openxmlformats.org/officeDocument/2006/relationships/printerSettings" Target="../printerSettings/printerSettings10.bin"/><Relationship Id="rId4" Type="http://schemas.microsoft.com/office/2007/relationships/slicer" Target="../slicers/slicer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5.xml"/><Relationship Id="rId1" Type="http://schemas.openxmlformats.org/officeDocument/2006/relationships/printerSettings" Target="../printerSettings/printerSettings11.bin"/><Relationship Id="rId4" Type="http://schemas.microsoft.com/office/2007/relationships/slicer" Target="../slicers/slicer1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microsoft.com/office/2007/relationships/slicer" Target="../slicers/slicer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microsoft.com/office/2007/relationships/slicer" Target="../slicers/slicer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microsoft.com/office/2007/relationships/slicer" Target="../slicers/slicer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microsoft.com/office/2007/relationships/slicer" Target="../slicers/slicer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8.bin"/><Relationship Id="rId4" Type="http://schemas.microsoft.com/office/2007/relationships/slicer" Target="../slicers/slicer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9.bin"/><Relationship Id="rId4" Type="http://schemas.microsoft.com/office/2007/relationships/slicer" Target="../slicers/slicer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04B22-E5C0-40D9-A85C-D01389818E91}">
  <dimension ref="A1:AO100"/>
  <sheetViews>
    <sheetView tabSelected="1" zoomScale="70" zoomScaleNormal="70" workbookViewId="0">
      <pane ySplit="1" topLeftCell="A31" activePane="bottomLeft" state="frozen"/>
      <selection pane="bottomLeft" activeCell="AA66" sqref="AA66"/>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29" width="6.23046875" style="3" customWidth="1"/>
    <col min="30" max="30" width="6.23046875" style="1" customWidth="1"/>
    <col min="31" max="31" width="6.23046875" style="3" customWidth="1"/>
    <col min="32" max="32" width="6.23046875" style="1" customWidth="1"/>
    <col min="33" max="33" width="6.23046875" style="3" customWidth="1"/>
    <col min="34" max="34" width="6.23046875" style="1" customWidth="1"/>
    <col min="35" max="35" width="6.23046875" style="3" customWidth="1"/>
    <col min="36" max="36" width="6.23046875" style="1" customWidth="1"/>
    <col min="37" max="37" width="6.53515625" style="6" customWidth="1"/>
    <col min="38" max="38" width="19.3828125" style="6" customWidth="1"/>
    <col min="39" max="40" width="6.53515625" style="6" customWidth="1"/>
    <col min="41" max="16384" width="9.23046875" style="1"/>
  </cols>
  <sheetData>
    <row r="1" spans="1:41" s="27" customFormat="1" x14ac:dyDescent="0.4">
      <c r="A1" s="19" t="s">
        <v>34</v>
      </c>
      <c r="B1" s="19" t="s">
        <v>24</v>
      </c>
      <c r="C1" s="19" t="s">
        <v>25</v>
      </c>
      <c r="D1" s="20" t="s">
        <v>0</v>
      </c>
      <c r="E1" s="19" t="s">
        <v>26</v>
      </c>
      <c r="F1" s="21" t="s">
        <v>13</v>
      </c>
      <c r="G1" s="20" t="s">
        <v>59</v>
      </c>
      <c r="H1" s="20" t="s">
        <v>1</v>
      </c>
      <c r="I1" s="20" t="s">
        <v>60</v>
      </c>
      <c r="J1" s="22" t="s">
        <v>2</v>
      </c>
      <c r="K1" s="22" t="s">
        <v>21</v>
      </c>
      <c r="L1" s="20" t="s">
        <v>14</v>
      </c>
      <c r="M1" s="20" t="s">
        <v>15</v>
      </c>
      <c r="N1" s="20" t="s">
        <v>16</v>
      </c>
      <c r="O1" s="19" t="s">
        <v>4</v>
      </c>
      <c r="P1" s="23" t="s">
        <v>3</v>
      </c>
      <c r="Q1" s="20" t="s">
        <v>17</v>
      </c>
      <c r="R1" s="23" t="s">
        <v>22</v>
      </c>
      <c r="S1" s="20" t="s">
        <v>18</v>
      </c>
      <c r="T1" s="20" t="s">
        <v>19</v>
      </c>
      <c r="U1" s="20" t="s">
        <v>20</v>
      </c>
      <c r="V1" s="20" t="s">
        <v>61</v>
      </c>
      <c r="W1" s="23" t="s">
        <v>67</v>
      </c>
      <c r="X1" s="20" t="s">
        <v>62</v>
      </c>
      <c r="Y1" s="23" t="s">
        <v>7</v>
      </c>
      <c r="Z1" s="20" t="s">
        <v>63</v>
      </c>
      <c r="AA1" s="23" t="s">
        <v>11</v>
      </c>
      <c r="AB1" s="20" t="s">
        <v>64</v>
      </c>
      <c r="AC1" s="23" t="s">
        <v>5</v>
      </c>
      <c r="AD1" s="20" t="s">
        <v>65</v>
      </c>
      <c r="AE1" s="23" t="s">
        <v>6</v>
      </c>
      <c r="AF1" s="20" t="s">
        <v>8</v>
      </c>
      <c r="AG1" s="23" t="s">
        <v>9</v>
      </c>
      <c r="AH1" s="20" t="s">
        <v>66</v>
      </c>
      <c r="AI1" s="23" t="s">
        <v>10</v>
      </c>
      <c r="AJ1" s="24" t="s">
        <v>32</v>
      </c>
      <c r="AK1" s="25" t="s">
        <v>23</v>
      </c>
      <c r="AL1" s="25" t="s">
        <v>205</v>
      </c>
      <c r="AM1" s="26" t="s">
        <v>27</v>
      </c>
      <c r="AN1" s="26" t="s">
        <v>28</v>
      </c>
      <c r="AO1" s="26" t="s">
        <v>29</v>
      </c>
    </row>
    <row r="2" spans="1:41" x14ac:dyDescent="0.4">
      <c r="A2">
        <v>1</v>
      </c>
      <c r="B2" s="2">
        <v>2698</v>
      </c>
      <c r="C2" t="s">
        <v>35</v>
      </c>
      <c r="D2">
        <v>1257</v>
      </c>
      <c r="E2" s="1">
        <f t="shared" ref="E2:E40" si="0">D2</f>
        <v>1257</v>
      </c>
      <c r="F2">
        <v>1200</v>
      </c>
      <c r="G2">
        <v>0</v>
      </c>
      <c r="H2">
        <v>290</v>
      </c>
      <c r="I2">
        <v>44</v>
      </c>
      <c r="J2" s="3">
        <f t="shared" ref="J2:J40" si="1">100*(H2+I2)/D2</f>
        <v>26.571201272871917</v>
      </c>
      <c r="K2" s="3">
        <f t="shared" ref="K2:K40" si="2">100*I2/D2</f>
        <v>3.5003977724741446</v>
      </c>
      <c r="L2">
        <v>866</v>
      </c>
      <c r="M2">
        <v>44</v>
      </c>
      <c r="N2">
        <v>290</v>
      </c>
      <c r="O2" s="1">
        <f t="shared" ref="O2:O40" si="3">M2+N2</f>
        <v>334</v>
      </c>
      <c r="P2" s="3">
        <f t="shared" ref="P2:P40" si="4">100*M2/O2</f>
        <v>13.173652694610778</v>
      </c>
      <c r="Q2">
        <v>19</v>
      </c>
      <c r="R2" s="3">
        <f t="shared" ref="R2:R40" si="5">100*Q2/O2</f>
        <v>5.6886227544910177</v>
      </c>
      <c r="S2">
        <v>315</v>
      </c>
      <c r="T2">
        <v>0</v>
      </c>
      <c r="U2">
        <v>0</v>
      </c>
      <c r="V2">
        <v>25</v>
      </c>
      <c r="W2" s="3">
        <f t="shared" ref="W2:W40" si="6">100*V2/$O2</f>
        <v>7.4850299401197606</v>
      </c>
      <c r="X2">
        <v>144</v>
      </c>
      <c r="Y2" s="3">
        <f t="shared" ref="Y2:Y40" si="7">100*X2/$O2</f>
        <v>43.113772455089823</v>
      </c>
      <c r="Z2">
        <v>31</v>
      </c>
      <c r="AA2" s="3">
        <f t="shared" ref="AA2:AA40" si="8">100*Z2/$O2</f>
        <v>9.2814371257485035</v>
      </c>
      <c r="AB2">
        <v>15</v>
      </c>
      <c r="AC2" s="3">
        <f t="shared" ref="AC2:AC40" si="9">100*AB2/$O2</f>
        <v>4.4910179640718564</v>
      </c>
      <c r="AD2">
        <v>14</v>
      </c>
      <c r="AE2" s="3">
        <f t="shared" ref="AE2:AE40" si="10">100*AD2/$O2</f>
        <v>4.1916167664670656</v>
      </c>
      <c r="AF2">
        <v>16</v>
      </c>
      <c r="AG2" s="3">
        <f t="shared" ref="AG2:AG40" si="11">100*AF2/$O2</f>
        <v>4.7904191616766463</v>
      </c>
      <c r="AH2">
        <v>70</v>
      </c>
      <c r="AI2" s="3">
        <f t="shared" ref="AI2:AI40" si="12">100*AH2/$O2</f>
        <v>20.95808383233533</v>
      </c>
      <c r="AJ2" t="s">
        <v>33</v>
      </c>
      <c r="AK2">
        <v>1</v>
      </c>
      <c r="AL2" t="s">
        <v>200</v>
      </c>
      <c r="AM2"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-45.607338675664209</v>
      </c>
      <c r="AN2" s="6">
        <f>2*(Дума_партии[[#This Row],[2. Всероссийская политическая партия "ЕДИНАЯ РОССИЯ"]]-(W$75/100)*Дума_партии[[#This Row],[Число действительных бюллетеней]])</f>
        <v>-43.253999999999962</v>
      </c>
      <c r="AO2" s="6">
        <f>(Дума_партии[[#This Row],[Вброс]]+Дума_партии[[#This Row],[Перекладывание]])/2</f>
        <v>-44.430669337832086</v>
      </c>
    </row>
    <row r="3" spans="1:41" x14ac:dyDescent="0.4">
      <c r="A3">
        <v>1</v>
      </c>
      <c r="B3" s="4">
        <v>2699</v>
      </c>
      <c r="C3" t="s">
        <v>36</v>
      </c>
      <c r="D3">
        <v>1270</v>
      </c>
      <c r="E3">
        <f t="shared" si="0"/>
        <v>1270</v>
      </c>
      <c r="F3">
        <v>1200</v>
      </c>
      <c r="G3">
        <v>0</v>
      </c>
      <c r="H3">
        <v>395</v>
      </c>
      <c r="I3">
        <v>79</v>
      </c>
      <c r="J3" s="18">
        <f t="shared" si="1"/>
        <v>37.322834645669289</v>
      </c>
      <c r="K3" s="18">
        <f t="shared" si="2"/>
        <v>6.2204724409448815</v>
      </c>
      <c r="L3">
        <v>726</v>
      </c>
      <c r="M3">
        <v>79</v>
      </c>
      <c r="N3">
        <v>395</v>
      </c>
      <c r="O3">
        <f t="shared" si="3"/>
        <v>474</v>
      </c>
      <c r="P3" s="18">
        <f t="shared" si="4"/>
        <v>16.666666666666668</v>
      </c>
      <c r="Q3">
        <v>14</v>
      </c>
      <c r="R3" s="18">
        <f t="shared" si="5"/>
        <v>2.9535864978902953</v>
      </c>
      <c r="S3">
        <v>460</v>
      </c>
      <c r="T3">
        <v>0</v>
      </c>
      <c r="U3">
        <v>0</v>
      </c>
      <c r="V3">
        <v>48</v>
      </c>
      <c r="W3" s="18">
        <f t="shared" si="6"/>
        <v>10.126582278481013</v>
      </c>
      <c r="X3">
        <v>201</v>
      </c>
      <c r="Y3" s="18">
        <f t="shared" si="7"/>
        <v>42.405063291139243</v>
      </c>
      <c r="Z3">
        <v>29</v>
      </c>
      <c r="AA3" s="18">
        <f t="shared" si="8"/>
        <v>6.1181434599156121</v>
      </c>
      <c r="AB3">
        <v>32</v>
      </c>
      <c r="AC3" s="18">
        <f t="shared" si="9"/>
        <v>6.7510548523206753</v>
      </c>
      <c r="AD3">
        <v>7</v>
      </c>
      <c r="AE3" s="18">
        <f t="shared" si="10"/>
        <v>1.4767932489451476</v>
      </c>
      <c r="AF3">
        <v>126</v>
      </c>
      <c r="AG3" s="18">
        <f t="shared" si="11"/>
        <v>26.582278481012658</v>
      </c>
      <c r="AH3">
        <v>17</v>
      </c>
      <c r="AI3" s="18">
        <f t="shared" si="12"/>
        <v>3.5864978902953588</v>
      </c>
      <c r="AJ3" t="s">
        <v>33</v>
      </c>
      <c r="AK3">
        <v>1</v>
      </c>
      <c r="AL3" t="s">
        <v>200</v>
      </c>
      <c r="AM3"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-86.183045128637616</v>
      </c>
      <c r="AN3" s="6">
        <f>2*(Дума_партии[[#This Row],[2. Всероссийская политическая партия "ЕДИНАЯ РОССИЯ"]]-(W$75/100)*Дума_партии[[#This Row],[Число действительных бюллетеней]])</f>
        <v>-81.735999999999933</v>
      </c>
      <c r="AO3" s="6">
        <f>(Дума_партии[[#This Row],[Вброс]]+Дума_партии[[#This Row],[Перекладывание]])/2</f>
        <v>-83.959522564318775</v>
      </c>
    </row>
    <row r="4" spans="1:41" s="3" customFormat="1" x14ac:dyDescent="0.4">
      <c r="A4">
        <v>1</v>
      </c>
      <c r="B4" s="4">
        <v>2700</v>
      </c>
      <c r="C4" t="s">
        <v>37</v>
      </c>
      <c r="D4">
        <v>496</v>
      </c>
      <c r="E4">
        <f t="shared" si="0"/>
        <v>496</v>
      </c>
      <c r="F4">
        <v>480</v>
      </c>
      <c r="G4">
        <v>0</v>
      </c>
      <c r="H4">
        <v>97</v>
      </c>
      <c r="I4">
        <v>40</v>
      </c>
      <c r="J4" s="18">
        <f t="shared" si="1"/>
        <v>27.620967741935484</v>
      </c>
      <c r="K4" s="18">
        <f t="shared" si="2"/>
        <v>8.064516129032258</v>
      </c>
      <c r="L4">
        <v>343</v>
      </c>
      <c r="M4">
        <v>40</v>
      </c>
      <c r="N4">
        <v>97</v>
      </c>
      <c r="O4">
        <f t="shared" si="3"/>
        <v>137</v>
      </c>
      <c r="P4" s="18">
        <f t="shared" si="4"/>
        <v>29.197080291970803</v>
      </c>
      <c r="Q4">
        <v>7</v>
      </c>
      <c r="R4" s="18">
        <f t="shared" si="5"/>
        <v>5.1094890510948909</v>
      </c>
      <c r="S4">
        <v>130</v>
      </c>
      <c r="T4">
        <v>0</v>
      </c>
      <c r="U4">
        <v>0</v>
      </c>
      <c r="V4">
        <v>14</v>
      </c>
      <c r="W4" s="18">
        <f t="shared" si="6"/>
        <v>10.218978102189782</v>
      </c>
      <c r="X4">
        <v>52</v>
      </c>
      <c r="Y4" s="18">
        <f t="shared" si="7"/>
        <v>37.956204379562045</v>
      </c>
      <c r="Z4">
        <v>13</v>
      </c>
      <c r="AA4" s="18">
        <f t="shared" si="8"/>
        <v>9.4890510948905114</v>
      </c>
      <c r="AB4">
        <v>16</v>
      </c>
      <c r="AC4" s="18">
        <f t="shared" si="9"/>
        <v>11.678832116788321</v>
      </c>
      <c r="AD4">
        <v>6</v>
      </c>
      <c r="AE4" s="18">
        <f t="shared" si="10"/>
        <v>4.3795620437956204</v>
      </c>
      <c r="AF4">
        <v>28</v>
      </c>
      <c r="AG4" s="18">
        <f t="shared" si="11"/>
        <v>20.437956204379564</v>
      </c>
      <c r="AH4">
        <v>1</v>
      </c>
      <c r="AI4" s="18">
        <f t="shared" si="12"/>
        <v>0.72992700729927007</v>
      </c>
      <c r="AJ4" t="s">
        <v>33</v>
      </c>
      <c r="AK4">
        <v>1</v>
      </c>
      <c r="AL4" t="s">
        <v>201</v>
      </c>
      <c r="AM4"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-34.487557992408242</v>
      </c>
      <c r="AN4" s="6">
        <f>2*(Дума_партии[[#This Row],[2. Всероссийская политическая партия "ЕДИНАЯ РОССИЯ"]]-(W$75/100)*Дума_партии[[#This Row],[Число действительных бюллетеней]])</f>
        <v>-32.70799999999997</v>
      </c>
      <c r="AO4" s="6">
        <f>(Дума_партии[[#This Row],[Вброс]]+Дума_партии[[#This Row],[Перекладывание]])/2</f>
        <v>-33.597778996204106</v>
      </c>
    </row>
    <row r="5" spans="1:41" x14ac:dyDescent="0.4">
      <c r="A5">
        <v>1</v>
      </c>
      <c r="B5" s="4">
        <v>2701</v>
      </c>
      <c r="C5" t="s">
        <v>38</v>
      </c>
      <c r="D5">
        <v>682</v>
      </c>
      <c r="E5">
        <f t="shared" si="0"/>
        <v>682</v>
      </c>
      <c r="F5">
        <v>680</v>
      </c>
      <c r="G5">
        <v>0</v>
      </c>
      <c r="H5">
        <v>190</v>
      </c>
      <c r="I5">
        <v>27</v>
      </c>
      <c r="J5" s="18">
        <f t="shared" si="1"/>
        <v>31.818181818181817</v>
      </c>
      <c r="K5" s="18">
        <f t="shared" si="2"/>
        <v>3.9589442815249267</v>
      </c>
      <c r="L5">
        <v>463</v>
      </c>
      <c r="M5">
        <v>27</v>
      </c>
      <c r="N5">
        <v>190</v>
      </c>
      <c r="O5">
        <f t="shared" si="3"/>
        <v>217</v>
      </c>
      <c r="P5" s="18">
        <f t="shared" si="4"/>
        <v>12.442396313364055</v>
      </c>
      <c r="Q5">
        <v>6</v>
      </c>
      <c r="R5" s="18">
        <f t="shared" si="5"/>
        <v>2.7649769585253456</v>
      </c>
      <c r="S5">
        <v>211</v>
      </c>
      <c r="T5">
        <v>0</v>
      </c>
      <c r="U5">
        <v>0</v>
      </c>
      <c r="V5">
        <v>24</v>
      </c>
      <c r="W5" s="18">
        <f t="shared" si="6"/>
        <v>11.059907834101383</v>
      </c>
      <c r="X5">
        <v>119</v>
      </c>
      <c r="Y5" s="18">
        <f t="shared" si="7"/>
        <v>54.838709677419352</v>
      </c>
      <c r="Z5">
        <v>24</v>
      </c>
      <c r="AA5" s="18">
        <f t="shared" si="8"/>
        <v>11.059907834101383</v>
      </c>
      <c r="AB5">
        <v>21</v>
      </c>
      <c r="AC5" s="18">
        <f t="shared" si="9"/>
        <v>9.67741935483871</v>
      </c>
      <c r="AD5">
        <v>3</v>
      </c>
      <c r="AE5" s="18">
        <f t="shared" si="10"/>
        <v>1.3824884792626728</v>
      </c>
      <c r="AF5">
        <v>17</v>
      </c>
      <c r="AG5" s="18">
        <f t="shared" si="11"/>
        <v>7.8341013824884795</v>
      </c>
      <c r="AH5">
        <v>3</v>
      </c>
      <c r="AI5" s="18">
        <f t="shared" si="12"/>
        <v>1.3824884792626728</v>
      </c>
      <c r="AJ5" t="s">
        <v>33</v>
      </c>
      <c r="AK5">
        <v>1</v>
      </c>
      <c r="AL5" t="s">
        <v>200</v>
      </c>
      <c r="AM5"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16.989034162800536</v>
      </c>
      <c r="AN5" s="6">
        <f>2*(Дума_партии[[#This Row],[2. Всероссийская политическая партия "ЕДИНАЯ РОССИЯ"]]-(W$75/100)*Дума_партии[[#This Row],[Число действительных бюллетеней]])</f>
        <v>16.112400000000036</v>
      </c>
      <c r="AO5" s="6">
        <f>(Дума_партии[[#This Row],[Вброс]]+Дума_партии[[#This Row],[Перекладывание]])/2</f>
        <v>16.550717081400286</v>
      </c>
    </row>
    <row r="6" spans="1:41" x14ac:dyDescent="0.4">
      <c r="A6">
        <v>1</v>
      </c>
      <c r="B6" s="4">
        <v>2702</v>
      </c>
      <c r="C6" t="s">
        <v>39</v>
      </c>
      <c r="D6">
        <v>694</v>
      </c>
      <c r="E6">
        <f t="shared" si="0"/>
        <v>694</v>
      </c>
      <c r="F6">
        <v>700</v>
      </c>
      <c r="G6">
        <v>0</v>
      </c>
      <c r="H6">
        <v>184</v>
      </c>
      <c r="I6">
        <v>80</v>
      </c>
      <c r="J6" s="18">
        <f t="shared" si="1"/>
        <v>38.040345821325651</v>
      </c>
      <c r="K6" s="18">
        <f t="shared" si="2"/>
        <v>11.527377521613833</v>
      </c>
      <c r="L6">
        <v>436</v>
      </c>
      <c r="M6">
        <v>80</v>
      </c>
      <c r="N6">
        <v>184</v>
      </c>
      <c r="O6">
        <f t="shared" si="3"/>
        <v>264</v>
      </c>
      <c r="P6" s="18">
        <f t="shared" si="4"/>
        <v>30.303030303030305</v>
      </c>
      <c r="Q6">
        <v>4</v>
      </c>
      <c r="R6" s="18">
        <f t="shared" si="5"/>
        <v>1.5151515151515151</v>
      </c>
      <c r="S6">
        <v>260</v>
      </c>
      <c r="T6">
        <v>0</v>
      </c>
      <c r="U6">
        <v>0</v>
      </c>
      <c r="V6">
        <v>11</v>
      </c>
      <c r="W6" s="18">
        <f t="shared" si="6"/>
        <v>4.166666666666667</v>
      </c>
      <c r="X6">
        <v>156</v>
      </c>
      <c r="Y6" s="18">
        <f t="shared" si="7"/>
        <v>59.090909090909093</v>
      </c>
      <c r="Z6">
        <v>36</v>
      </c>
      <c r="AA6" s="18">
        <f t="shared" si="8"/>
        <v>13.636363636363637</v>
      </c>
      <c r="AB6">
        <v>24</v>
      </c>
      <c r="AC6" s="18">
        <f t="shared" si="9"/>
        <v>9.0909090909090917</v>
      </c>
      <c r="AD6">
        <v>6</v>
      </c>
      <c r="AE6" s="18">
        <f t="shared" si="10"/>
        <v>2.2727272727272729</v>
      </c>
      <c r="AF6">
        <v>26</v>
      </c>
      <c r="AG6" s="18">
        <f t="shared" si="11"/>
        <v>9.8484848484848477</v>
      </c>
      <c r="AH6">
        <v>1</v>
      </c>
      <c r="AI6" s="18">
        <f t="shared" si="12"/>
        <v>0.37878787878787878</v>
      </c>
      <c r="AJ6" t="s">
        <v>33</v>
      </c>
      <c r="AK6">
        <v>1</v>
      </c>
      <c r="AL6" t="s">
        <v>200</v>
      </c>
      <c r="AM6"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40.683256010122349</v>
      </c>
      <c r="AN6" s="6">
        <f>2*(Дума_партии[[#This Row],[2. Всероссийская политическая партия "ЕДИНАЯ РОССИЯ"]]-(W$75/100)*Дума_партии[[#This Row],[Число действительных бюллетеней]])</f>
        <v>38.58400000000006</v>
      </c>
      <c r="AO6" s="6">
        <f>(Дума_партии[[#This Row],[Вброс]]+Дума_партии[[#This Row],[Перекладывание]])/2</f>
        <v>39.633628005061205</v>
      </c>
    </row>
    <row r="7" spans="1:41" x14ac:dyDescent="0.4">
      <c r="A7">
        <v>1</v>
      </c>
      <c r="B7" s="4">
        <v>2703</v>
      </c>
      <c r="C7" t="s">
        <v>40</v>
      </c>
      <c r="D7">
        <v>84</v>
      </c>
      <c r="E7">
        <f t="shared" si="0"/>
        <v>84</v>
      </c>
      <c r="F7">
        <v>90</v>
      </c>
      <c r="G7">
        <v>0</v>
      </c>
      <c r="H7">
        <v>11</v>
      </c>
      <c r="I7">
        <v>29</v>
      </c>
      <c r="J7" s="18">
        <f t="shared" si="1"/>
        <v>47.61904761904762</v>
      </c>
      <c r="K7" s="18">
        <f t="shared" si="2"/>
        <v>34.523809523809526</v>
      </c>
      <c r="L7">
        <v>50</v>
      </c>
      <c r="M7">
        <v>29</v>
      </c>
      <c r="N7">
        <v>11</v>
      </c>
      <c r="O7">
        <f t="shared" si="3"/>
        <v>40</v>
      </c>
      <c r="P7" s="18">
        <f t="shared" si="4"/>
        <v>72.5</v>
      </c>
      <c r="Q7">
        <v>0</v>
      </c>
      <c r="R7" s="18">
        <f t="shared" si="5"/>
        <v>0</v>
      </c>
      <c r="S7">
        <v>40</v>
      </c>
      <c r="T7">
        <v>0</v>
      </c>
      <c r="U7">
        <v>0</v>
      </c>
      <c r="V7">
        <v>2</v>
      </c>
      <c r="W7" s="18">
        <f t="shared" si="6"/>
        <v>5</v>
      </c>
      <c r="X7">
        <v>30</v>
      </c>
      <c r="Y7" s="18">
        <f t="shared" si="7"/>
        <v>75</v>
      </c>
      <c r="Z7">
        <v>2</v>
      </c>
      <c r="AA7" s="18">
        <f t="shared" si="8"/>
        <v>5</v>
      </c>
      <c r="AB7">
        <v>3</v>
      </c>
      <c r="AC7" s="18">
        <f t="shared" si="9"/>
        <v>7.5</v>
      </c>
      <c r="AD7">
        <v>0</v>
      </c>
      <c r="AE7" s="18">
        <f t="shared" si="10"/>
        <v>0</v>
      </c>
      <c r="AF7">
        <v>1</v>
      </c>
      <c r="AG7" s="18">
        <f t="shared" si="11"/>
        <v>2.5</v>
      </c>
      <c r="AH7">
        <v>2</v>
      </c>
      <c r="AI7" s="18">
        <f t="shared" si="12"/>
        <v>5</v>
      </c>
      <c r="AJ7" t="s">
        <v>33</v>
      </c>
      <c r="AK7"/>
      <c r="AL7"/>
      <c r="AM7"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18.911851539434842</v>
      </c>
      <c r="AN7" s="6">
        <f>2*(Дума_партии[[#This Row],[2. Всероссийская политическая партия "ЕДИНАЯ РОССИЯ"]]-(W$75/100)*Дума_партии[[#This Row],[Число действительных бюллетеней]])</f>
        <v>17.936000000000007</v>
      </c>
      <c r="AO7" s="6">
        <f>(Дума_партии[[#This Row],[Вброс]]+Дума_партии[[#This Row],[Перекладывание]])/2</f>
        <v>18.423925769717425</v>
      </c>
    </row>
    <row r="8" spans="1:41" x14ac:dyDescent="0.4">
      <c r="A8">
        <v>2</v>
      </c>
      <c r="B8" s="4">
        <v>2718</v>
      </c>
      <c r="C8" t="s">
        <v>41</v>
      </c>
      <c r="D8">
        <v>966</v>
      </c>
      <c r="E8">
        <f t="shared" si="0"/>
        <v>966</v>
      </c>
      <c r="F8">
        <v>900</v>
      </c>
      <c r="G8">
        <v>0</v>
      </c>
      <c r="H8">
        <v>133</v>
      </c>
      <c r="I8">
        <v>99</v>
      </c>
      <c r="J8" s="18">
        <f t="shared" si="1"/>
        <v>24.016563146997928</v>
      </c>
      <c r="K8" s="18">
        <f t="shared" si="2"/>
        <v>10.248447204968944</v>
      </c>
      <c r="L8">
        <v>668</v>
      </c>
      <c r="M8">
        <v>99</v>
      </c>
      <c r="N8">
        <v>133</v>
      </c>
      <c r="O8">
        <f t="shared" si="3"/>
        <v>232</v>
      </c>
      <c r="P8" s="18">
        <f t="shared" si="4"/>
        <v>42.672413793103445</v>
      </c>
      <c r="Q8">
        <v>8</v>
      </c>
      <c r="R8" s="18">
        <f t="shared" si="5"/>
        <v>3.4482758620689653</v>
      </c>
      <c r="S8">
        <v>224</v>
      </c>
      <c r="T8">
        <v>0</v>
      </c>
      <c r="U8">
        <v>0</v>
      </c>
      <c r="V8">
        <v>20</v>
      </c>
      <c r="W8" s="18">
        <f t="shared" si="6"/>
        <v>8.6206896551724146</v>
      </c>
      <c r="X8">
        <v>117</v>
      </c>
      <c r="Y8" s="18">
        <f t="shared" si="7"/>
        <v>50.431034482758619</v>
      </c>
      <c r="Z8">
        <v>25</v>
      </c>
      <c r="AA8" s="18">
        <f t="shared" si="8"/>
        <v>10.775862068965518</v>
      </c>
      <c r="AB8">
        <v>21</v>
      </c>
      <c r="AC8" s="18">
        <f t="shared" si="9"/>
        <v>9.0517241379310338</v>
      </c>
      <c r="AD8">
        <v>10</v>
      </c>
      <c r="AE8" s="18">
        <f t="shared" si="10"/>
        <v>4.3103448275862073</v>
      </c>
      <c r="AF8">
        <v>28</v>
      </c>
      <c r="AG8" s="18">
        <f t="shared" si="11"/>
        <v>12.068965517241379</v>
      </c>
      <c r="AH8">
        <v>3</v>
      </c>
      <c r="AI8" s="18">
        <f t="shared" si="12"/>
        <v>1.2931034482758621</v>
      </c>
      <c r="AJ8">
        <v>2017</v>
      </c>
      <c r="AK8">
        <v>1</v>
      </c>
      <c r="AL8" t="s">
        <v>200</v>
      </c>
      <c r="AM8"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-1.6431885280472045</v>
      </c>
      <c r="AN8" s="6">
        <f>2*(Дума_партии[[#This Row],[2. Всероссийская политическая партия "ЕДИНАЯ РОССИЯ"]]-(W$75/100)*Дума_партии[[#This Row],[Число действительных бюллетеней]])</f>
        <v>-1.5583999999999776</v>
      </c>
      <c r="AO8" s="6">
        <f>(Дума_партии[[#This Row],[Вброс]]+Дума_партии[[#This Row],[Перекладывание]])/2</f>
        <v>-1.600794264023591</v>
      </c>
    </row>
    <row r="9" spans="1:41" x14ac:dyDescent="0.4">
      <c r="A9">
        <v>2</v>
      </c>
      <c r="B9" s="4">
        <v>2719</v>
      </c>
      <c r="C9" t="s">
        <v>42</v>
      </c>
      <c r="D9">
        <v>672</v>
      </c>
      <c r="E9">
        <f t="shared" si="0"/>
        <v>672</v>
      </c>
      <c r="F9">
        <v>600</v>
      </c>
      <c r="G9">
        <v>0</v>
      </c>
      <c r="H9">
        <v>310</v>
      </c>
      <c r="I9">
        <v>34</v>
      </c>
      <c r="J9" s="18">
        <f t="shared" si="1"/>
        <v>51.19047619047619</v>
      </c>
      <c r="K9" s="18">
        <f t="shared" si="2"/>
        <v>5.0595238095238093</v>
      </c>
      <c r="L9">
        <v>256</v>
      </c>
      <c r="M9">
        <v>34</v>
      </c>
      <c r="N9">
        <v>310</v>
      </c>
      <c r="O9">
        <f t="shared" si="3"/>
        <v>344</v>
      </c>
      <c r="P9" s="18">
        <f t="shared" si="4"/>
        <v>9.8837209302325579</v>
      </c>
      <c r="Q9">
        <v>27</v>
      </c>
      <c r="R9" s="18">
        <f t="shared" si="5"/>
        <v>7.8488372093023253</v>
      </c>
      <c r="S9">
        <v>317</v>
      </c>
      <c r="T9">
        <v>0</v>
      </c>
      <c r="U9">
        <v>0</v>
      </c>
      <c r="V9">
        <v>23</v>
      </c>
      <c r="W9" s="18">
        <f t="shared" si="6"/>
        <v>6.6860465116279073</v>
      </c>
      <c r="X9">
        <v>223</v>
      </c>
      <c r="Y9" s="18">
        <f t="shared" si="7"/>
        <v>64.825581395348834</v>
      </c>
      <c r="Z9">
        <v>12</v>
      </c>
      <c r="AA9" s="18">
        <f t="shared" si="8"/>
        <v>3.4883720930232558</v>
      </c>
      <c r="AB9">
        <v>11</v>
      </c>
      <c r="AC9" s="18">
        <f t="shared" si="9"/>
        <v>3.1976744186046511</v>
      </c>
      <c r="AD9">
        <v>3</v>
      </c>
      <c r="AE9" s="18">
        <f t="shared" si="10"/>
        <v>0.87209302325581395</v>
      </c>
      <c r="AF9">
        <v>12</v>
      </c>
      <c r="AG9" s="18">
        <f t="shared" si="11"/>
        <v>3.4883720930232558</v>
      </c>
      <c r="AH9">
        <v>33</v>
      </c>
      <c r="AI9" s="18">
        <f t="shared" si="12"/>
        <v>9.5930232558139537</v>
      </c>
      <c r="AJ9" t="s">
        <v>33</v>
      </c>
      <c r="AK9"/>
      <c r="AL9"/>
      <c r="AM9"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118.7714044706875</v>
      </c>
      <c r="AN9" s="6">
        <f>2*(Дума_партии[[#This Row],[2. Всероссийская политическая партия "ЕДИНАЯ РОССИЯ"]]-(W$75/100)*Дума_партии[[#This Row],[Число действительных бюллетеней]])</f>
        <v>112.64280000000002</v>
      </c>
      <c r="AO9" s="6">
        <f>(Дума_партии[[#This Row],[Вброс]]+Дума_партии[[#This Row],[Перекладывание]])/2</f>
        <v>115.70710223534377</v>
      </c>
    </row>
    <row r="10" spans="1:41" x14ac:dyDescent="0.4">
      <c r="A10">
        <v>2</v>
      </c>
      <c r="B10" s="4">
        <v>2720</v>
      </c>
      <c r="C10" t="s">
        <v>43</v>
      </c>
      <c r="D10">
        <v>1460</v>
      </c>
      <c r="E10">
        <f t="shared" si="0"/>
        <v>1460</v>
      </c>
      <c r="F10">
        <v>1400</v>
      </c>
      <c r="G10">
        <v>0</v>
      </c>
      <c r="H10">
        <v>232</v>
      </c>
      <c r="I10">
        <v>55</v>
      </c>
      <c r="J10" s="18">
        <f t="shared" si="1"/>
        <v>19.657534246575342</v>
      </c>
      <c r="K10" s="18">
        <f t="shared" si="2"/>
        <v>3.7671232876712328</v>
      </c>
      <c r="L10">
        <v>1113</v>
      </c>
      <c r="M10">
        <v>55</v>
      </c>
      <c r="N10">
        <v>232</v>
      </c>
      <c r="O10">
        <f t="shared" si="3"/>
        <v>287</v>
      </c>
      <c r="P10" s="18">
        <f t="shared" si="4"/>
        <v>19.16376306620209</v>
      </c>
      <c r="Q10">
        <v>8</v>
      </c>
      <c r="R10" s="18">
        <f t="shared" si="5"/>
        <v>2.7874564459930316</v>
      </c>
      <c r="S10">
        <v>279</v>
      </c>
      <c r="T10">
        <v>0</v>
      </c>
      <c r="U10">
        <v>0</v>
      </c>
      <c r="V10">
        <v>17</v>
      </c>
      <c r="W10" s="18">
        <f t="shared" si="6"/>
        <v>5.9233449477351918</v>
      </c>
      <c r="X10">
        <v>188</v>
      </c>
      <c r="Y10" s="18">
        <f t="shared" si="7"/>
        <v>65.505226480836242</v>
      </c>
      <c r="Z10">
        <v>26</v>
      </c>
      <c r="AA10" s="18">
        <f t="shared" si="8"/>
        <v>9.0592334494773521</v>
      </c>
      <c r="AB10">
        <v>9</v>
      </c>
      <c r="AC10" s="18">
        <f t="shared" si="9"/>
        <v>3.1358885017421603</v>
      </c>
      <c r="AD10">
        <v>7</v>
      </c>
      <c r="AE10" s="18">
        <f t="shared" si="10"/>
        <v>2.4390243902439024</v>
      </c>
      <c r="AF10">
        <v>30</v>
      </c>
      <c r="AG10" s="18">
        <f t="shared" si="11"/>
        <v>10.452961672473867</v>
      </c>
      <c r="AH10">
        <v>2</v>
      </c>
      <c r="AI10" s="18">
        <f t="shared" si="12"/>
        <v>0.69686411149825789</v>
      </c>
      <c r="AJ10">
        <v>2017</v>
      </c>
      <c r="AK10"/>
      <c r="AL10"/>
      <c r="AM10"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87.097849008857054</v>
      </c>
      <c r="AN10" s="6">
        <f>2*(Дума_партии[[#This Row],[2. Всероссийская политическая партия "ЕДИНАЯ РОССИЯ"]]-(W$75/100)*Дума_партии[[#This Row],[Число действительных бюллетеней]])</f>
        <v>82.603600000000029</v>
      </c>
      <c r="AO10" s="6">
        <f>(Дума_партии[[#This Row],[Вброс]]+Дума_партии[[#This Row],[Перекладывание]])/2</f>
        <v>84.850724504428541</v>
      </c>
    </row>
    <row r="11" spans="1:41" x14ac:dyDescent="0.4">
      <c r="A11">
        <v>2</v>
      </c>
      <c r="B11" s="4">
        <v>2721</v>
      </c>
      <c r="C11" t="s">
        <v>41</v>
      </c>
      <c r="D11">
        <v>1430</v>
      </c>
      <c r="E11">
        <f t="shared" si="0"/>
        <v>1430</v>
      </c>
      <c r="F11">
        <v>1400</v>
      </c>
      <c r="G11">
        <v>0</v>
      </c>
      <c r="H11">
        <v>363</v>
      </c>
      <c r="I11">
        <v>60</v>
      </c>
      <c r="J11" s="18">
        <f t="shared" si="1"/>
        <v>29.58041958041958</v>
      </c>
      <c r="K11" s="18">
        <f t="shared" si="2"/>
        <v>4.1958041958041958</v>
      </c>
      <c r="L11">
        <v>977</v>
      </c>
      <c r="M11">
        <v>60</v>
      </c>
      <c r="N11">
        <v>363</v>
      </c>
      <c r="O11">
        <f t="shared" si="3"/>
        <v>423</v>
      </c>
      <c r="P11" s="18">
        <f t="shared" si="4"/>
        <v>14.184397163120567</v>
      </c>
      <c r="Q11">
        <v>18</v>
      </c>
      <c r="R11" s="18">
        <f t="shared" si="5"/>
        <v>4.2553191489361701</v>
      </c>
      <c r="S11">
        <v>405</v>
      </c>
      <c r="T11">
        <v>0</v>
      </c>
      <c r="U11">
        <v>0</v>
      </c>
      <c r="V11">
        <v>34</v>
      </c>
      <c r="W11" s="18">
        <f t="shared" si="6"/>
        <v>8.0378250591016549</v>
      </c>
      <c r="X11">
        <v>193</v>
      </c>
      <c r="Y11" s="18">
        <f t="shared" si="7"/>
        <v>45.626477541371159</v>
      </c>
      <c r="Z11">
        <v>32</v>
      </c>
      <c r="AA11" s="18">
        <f t="shared" si="8"/>
        <v>7.5650118203309695</v>
      </c>
      <c r="AB11">
        <v>42</v>
      </c>
      <c r="AC11" s="18">
        <f t="shared" si="9"/>
        <v>9.9290780141843964</v>
      </c>
      <c r="AD11">
        <v>10</v>
      </c>
      <c r="AE11" s="18">
        <f t="shared" si="10"/>
        <v>2.3640661938534278</v>
      </c>
      <c r="AF11">
        <v>82</v>
      </c>
      <c r="AG11" s="18">
        <f t="shared" si="11"/>
        <v>19.385342789598109</v>
      </c>
      <c r="AH11">
        <v>12</v>
      </c>
      <c r="AI11" s="18">
        <f t="shared" si="12"/>
        <v>2.8368794326241136</v>
      </c>
      <c r="AJ11">
        <v>2017</v>
      </c>
      <c r="AK11">
        <v>1</v>
      </c>
      <c r="AL11" t="s">
        <v>200</v>
      </c>
      <c r="AM11"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-42.068747363981373</v>
      </c>
      <c r="AN11" s="6">
        <f>2*(Дума_партии[[#This Row],[2. Всероссийская политическая партия "ЕДИНАЯ РОССИЯ"]]-(W$75/100)*Дума_партии[[#This Row],[Число действительных бюллетеней]])</f>
        <v>-39.897999999999968</v>
      </c>
      <c r="AO11" s="6">
        <f>(Дума_партии[[#This Row],[Вброс]]+Дума_партии[[#This Row],[Перекладывание]])/2</f>
        <v>-40.98337368199067</v>
      </c>
    </row>
    <row r="12" spans="1:41" x14ac:dyDescent="0.4">
      <c r="A12">
        <v>3</v>
      </c>
      <c r="B12" s="4">
        <v>2684</v>
      </c>
      <c r="C12" s="10" t="s">
        <v>44</v>
      </c>
      <c r="D12">
        <v>1768</v>
      </c>
      <c r="E12">
        <f t="shared" si="0"/>
        <v>1768</v>
      </c>
      <c r="F12">
        <v>1700</v>
      </c>
      <c r="G12">
        <v>0</v>
      </c>
      <c r="H12">
        <v>428</v>
      </c>
      <c r="I12">
        <v>14</v>
      </c>
      <c r="J12" s="18">
        <f t="shared" si="1"/>
        <v>25</v>
      </c>
      <c r="K12" s="18">
        <f t="shared" si="2"/>
        <v>0.79185520361990946</v>
      </c>
      <c r="L12">
        <v>1258</v>
      </c>
      <c r="M12">
        <v>14</v>
      </c>
      <c r="N12">
        <v>428</v>
      </c>
      <c r="O12">
        <f t="shared" si="3"/>
        <v>442</v>
      </c>
      <c r="P12" s="18">
        <f t="shared" si="4"/>
        <v>3.1674208144796379</v>
      </c>
      <c r="Q12">
        <v>26</v>
      </c>
      <c r="R12" s="18">
        <f t="shared" si="5"/>
        <v>5.882352941176471</v>
      </c>
      <c r="S12">
        <v>416</v>
      </c>
      <c r="T12">
        <v>0</v>
      </c>
      <c r="U12">
        <v>0</v>
      </c>
      <c r="V12">
        <v>42</v>
      </c>
      <c r="W12" s="18">
        <f t="shared" si="6"/>
        <v>9.502262443438914</v>
      </c>
      <c r="X12">
        <v>214</v>
      </c>
      <c r="Y12" s="18">
        <f t="shared" si="7"/>
        <v>48.41628959276018</v>
      </c>
      <c r="Z12">
        <v>33</v>
      </c>
      <c r="AA12" s="18">
        <f t="shared" si="8"/>
        <v>7.4660633484162897</v>
      </c>
      <c r="AB12">
        <v>28</v>
      </c>
      <c r="AC12" s="18">
        <f t="shared" si="9"/>
        <v>6.3348416289592757</v>
      </c>
      <c r="AD12">
        <v>26</v>
      </c>
      <c r="AE12" s="18">
        <f t="shared" si="10"/>
        <v>5.882352941176471</v>
      </c>
      <c r="AF12">
        <v>50</v>
      </c>
      <c r="AG12" s="18">
        <f t="shared" si="11"/>
        <v>11.312217194570136</v>
      </c>
      <c r="AH12">
        <v>23</v>
      </c>
      <c r="AI12" s="18">
        <f t="shared" si="12"/>
        <v>5.2036199095022626</v>
      </c>
      <c r="AJ12" t="s">
        <v>33</v>
      </c>
      <c r="AK12">
        <v>1</v>
      </c>
      <c r="AL12" t="s">
        <v>202</v>
      </c>
      <c r="AM12"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-9.9805989034162224</v>
      </c>
      <c r="AN12" s="6">
        <f>2*(Дума_партии[[#This Row],[2. Всероссийская политическая партия "ЕДИНАЯ РОССИЯ"]]-(W$75/100)*Дума_партии[[#This Row],[Число действительных бюллетеней]])</f>
        <v>-9.4655999999999381</v>
      </c>
      <c r="AO12" s="6">
        <f>(Дума_партии[[#This Row],[Вброс]]+Дума_партии[[#This Row],[Перекладывание]])/2</f>
        <v>-9.7230994517080802</v>
      </c>
    </row>
    <row r="13" spans="1:41" x14ac:dyDescent="0.4">
      <c r="A13">
        <v>3</v>
      </c>
      <c r="B13" s="4">
        <v>2689</v>
      </c>
      <c r="C13" t="s">
        <v>44</v>
      </c>
      <c r="D13">
        <v>1549</v>
      </c>
      <c r="E13">
        <f t="shared" si="0"/>
        <v>1549</v>
      </c>
      <c r="F13">
        <v>1500</v>
      </c>
      <c r="G13">
        <v>0</v>
      </c>
      <c r="H13">
        <v>338</v>
      </c>
      <c r="I13">
        <v>19</v>
      </c>
      <c r="J13" s="18">
        <f t="shared" si="1"/>
        <v>23.047127178825047</v>
      </c>
      <c r="K13" s="18">
        <f t="shared" si="2"/>
        <v>1.2265978050355069</v>
      </c>
      <c r="L13">
        <v>1143</v>
      </c>
      <c r="M13">
        <v>19</v>
      </c>
      <c r="N13">
        <v>338</v>
      </c>
      <c r="O13">
        <f t="shared" si="3"/>
        <v>357</v>
      </c>
      <c r="P13" s="18">
        <f t="shared" si="4"/>
        <v>5.322128851540616</v>
      </c>
      <c r="Q13">
        <v>13</v>
      </c>
      <c r="R13" s="18">
        <f t="shared" si="5"/>
        <v>3.6414565826330532</v>
      </c>
      <c r="S13">
        <v>344</v>
      </c>
      <c r="T13">
        <v>0</v>
      </c>
      <c r="U13">
        <v>0</v>
      </c>
      <c r="V13">
        <v>29</v>
      </c>
      <c r="W13" s="18">
        <f t="shared" si="6"/>
        <v>8.1232492997198875</v>
      </c>
      <c r="X13">
        <v>174</v>
      </c>
      <c r="Y13" s="18">
        <f t="shared" si="7"/>
        <v>48.739495798319325</v>
      </c>
      <c r="Z13">
        <v>56</v>
      </c>
      <c r="AA13" s="18">
        <f t="shared" si="8"/>
        <v>15.686274509803921</v>
      </c>
      <c r="AB13">
        <v>30</v>
      </c>
      <c r="AC13" s="18">
        <f t="shared" si="9"/>
        <v>8.4033613445378155</v>
      </c>
      <c r="AD13">
        <v>13</v>
      </c>
      <c r="AE13" s="18">
        <f t="shared" si="10"/>
        <v>3.6414565826330532</v>
      </c>
      <c r="AF13">
        <v>25</v>
      </c>
      <c r="AG13" s="18">
        <f t="shared" si="11"/>
        <v>7.0028011204481793</v>
      </c>
      <c r="AH13">
        <v>17</v>
      </c>
      <c r="AI13" s="18">
        <f t="shared" si="12"/>
        <v>4.7619047619047619</v>
      </c>
      <c r="AJ13" t="s">
        <v>33</v>
      </c>
      <c r="AK13">
        <v>1</v>
      </c>
      <c r="AL13" t="s">
        <v>200</v>
      </c>
      <c r="AM13"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-14.498523829607706</v>
      </c>
      <c r="AN13" s="6">
        <f>2*(Дума_партии[[#This Row],[2. Всероссийская политическая партия "ЕДИНАЯ РОССИЯ"]]-(W$75/100)*Дума_партии[[#This Row],[Число действительных бюллетеней]])</f>
        <v>-13.750399999999956</v>
      </c>
      <c r="AO13" s="6">
        <f>(Дума_партии[[#This Row],[Вброс]]+Дума_партии[[#This Row],[Перекладывание]])/2</f>
        <v>-14.124461914803831</v>
      </c>
    </row>
    <row r="14" spans="1:41" x14ac:dyDescent="0.4">
      <c r="A14">
        <v>3</v>
      </c>
      <c r="B14" s="4">
        <v>2704</v>
      </c>
      <c r="C14" t="s">
        <v>45</v>
      </c>
      <c r="D14">
        <v>1257</v>
      </c>
      <c r="E14">
        <f t="shared" si="0"/>
        <v>1257</v>
      </c>
      <c r="F14">
        <v>1200</v>
      </c>
      <c r="G14">
        <v>0</v>
      </c>
      <c r="H14">
        <v>287</v>
      </c>
      <c r="I14">
        <v>68</v>
      </c>
      <c r="J14" s="18">
        <f t="shared" si="1"/>
        <v>28.241845664280032</v>
      </c>
      <c r="K14" s="18">
        <f t="shared" si="2"/>
        <v>5.4097056483691333</v>
      </c>
      <c r="L14">
        <v>845</v>
      </c>
      <c r="M14">
        <v>68</v>
      </c>
      <c r="N14">
        <v>287</v>
      </c>
      <c r="O14">
        <f t="shared" si="3"/>
        <v>355</v>
      </c>
      <c r="P14" s="18">
        <f t="shared" si="4"/>
        <v>19.154929577464788</v>
      </c>
      <c r="Q14">
        <v>6</v>
      </c>
      <c r="R14" s="18">
        <f t="shared" si="5"/>
        <v>1.6901408450704225</v>
      </c>
      <c r="S14">
        <v>349</v>
      </c>
      <c r="T14">
        <v>0</v>
      </c>
      <c r="U14">
        <v>0</v>
      </c>
      <c r="V14">
        <v>38</v>
      </c>
      <c r="W14" s="18">
        <f t="shared" si="6"/>
        <v>10.704225352112676</v>
      </c>
      <c r="X14">
        <v>168</v>
      </c>
      <c r="Y14" s="18">
        <f t="shared" si="7"/>
        <v>47.323943661971832</v>
      </c>
      <c r="Z14">
        <v>51</v>
      </c>
      <c r="AA14" s="18">
        <f t="shared" si="8"/>
        <v>14.366197183098592</v>
      </c>
      <c r="AB14">
        <v>19</v>
      </c>
      <c r="AC14" s="18">
        <f t="shared" si="9"/>
        <v>5.352112676056338</v>
      </c>
      <c r="AD14">
        <v>8</v>
      </c>
      <c r="AE14" s="18">
        <f t="shared" si="10"/>
        <v>2.2535211267605635</v>
      </c>
      <c r="AF14">
        <v>41</v>
      </c>
      <c r="AG14" s="18">
        <f t="shared" si="11"/>
        <v>11.549295774647888</v>
      </c>
      <c r="AH14">
        <v>24</v>
      </c>
      <c r="AI14" s="18">
        <f t="shared" si="12"/>
        <v>6.76056338028169</v>
      </c>
      <c r="AJ14">
        <v>2017</v>
      </c>
      <c r="AK14">
        <v>1</v>
      </c>
      <c r="AL14" t="s">
        <v>200</v>
      </c>
      <c r="AM14"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-32.695487136229389</v>
      </c>
      <c r="AN14" s="6">
        <f>2*(Дума_партии[[#This Row],[2. Всероссийская политическая партия "ЕДИНАЯ РОССИЯ"]]-(W$75/100)*Дума_партии[[#This Row],[Число действительных бюллетеней]])</f>
        <v>-31.008399999999938</v>
      </c>
      <c r="AO14" s="6">
        <f>(Дума_партии[[#This Row],[Вброс]]+Дума_партии[[#This Row],[Перекладывание]])/2</f>
        <v>-31.851943568114663</v>
      </c>
    </row>
    <row r="15" spans="1:41" x14ac:dyDescent="0.4">
      <c r="A15">
        <v>3</v>
      </c>
      <c r="B15" s="4">
        <v>2705</v>
      </c>
      <c r="C15" t="s">
        <v>46</v>
      </c>
      <c r="D15">
        <v>792</v>
      </c>
      <c r="E15">
        <f t="shared" si="0"/>
        <v>792</v>
      </c>
      <c r="F15">
        <v>800</v>
      </c>
      <c r="G15">
        <v>0</v>
      </c>
      <c r="H15">
        <v>206</v>
      </c>
      <c r="I15">
        <v>130</v>
      </c>
      <c r="J15" s="18">
        <f t="shared" si="1"/>
        <v>42.424242424242422</v>
      </c>
      <c r="K15" s="18">
        <f t="shared" si="2"/>
        <v>16.414141414141415</v>
      </c>
      <c r="L15">
        <v>464</v>
      </c>
      <c r="M15">
        <v>130</v>
      </c>
      <c r="N15">
        <v>206</v>
      </c>
      <c r="O15">
        <f t="shared" si="3"/>
        <v>336</v>
      </c>
      <c r="P15" s="18">
        <f t="shared" si="4"/>
        <v>38.69047619047619</v>
      </c>
      <c r="Q15">
        <v>13</v>
      </c>
      <c r="R15" s="18">
        <f t="shared" si="5"/>
        <v>3.8690476190476191</v>
      </c>
      <c r="S15">
        <v>323</v>
      </c>
      <c r="T15">
        <v>0</v>
      </c>
      <c r="U15">
        <v>0</v>
      </c>
      <c r="V15">
        <v>23</v>
      </c>
      <c r="W15" s="18">
        <f t="shared" si="6"/>
        <v>6.8452380952380949</v>
      </c>
      <c r="X15">
        <v>189</v>
      </c>
      <c r="Y15" s="18">
        <f t="shared" si="7"/>
        <v>56.25</v>
      </c>
      <c r="Z15">
        <v>39</v>
      </c>
      <c r="AA15" s="18">
        <f t="shared" si="8"/>
        <v>11.607142857142858</v>
      </c>
      <c r="AB15">
        <v>15</v>
      </c>
      <c r="AC15" s="18">
        <f t="shared" si="9"/>
        <v>4.4642857142857144</v>
      </c>
      <c r="AD15">
        <v>15</v>
      </c>
      <c r="AE15" s="18">
        <f t="shared" si="10"/>
        <v>4.4642857142857144</v>
      </c>
      <c r="AF15">
        <v>28</v>
      </c>
      <c r="AG15" s="18">
        <f t="shared" si="11"/>
        <v>8.3333333333333339</v>
      </c>
      <c r="AH15">
        <v>14</v>
      </c>
      <c r="AI15" s="18">
        <f t="shared" si="12"/>
        <v>4.166666666666667</v>
      </c>
      <c r="AJ15" t="s">
        <v>33</v>
      </c>
      <c r="AK15">
        <v>1</v>
      </c>
      <c r="AL15" t="s">
        <v>200</v>
      </c>
      <c r="AM15"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40.418810628426854</v>
      </c>
      <c r="AN15" s="6">
        <f>2*(Дума_партии[[#This Row],[2. Всероссийская политическая партия "ЕДИНАЯ РОССИЯ"]]-(W$75/100)*Дума_партии[[#This Row],[Число действительных бюллетеней]])</f>
        <v>38.333200000000033</v>
      </c>
      <c r="AO15" s="6">
        <f>(Дума_партии[[#This Row],[Вброс]]+Дума_партии[[#This Row],[Перекладывание]])/2</f>
        <v>39.376005314213444</v>
      </c>
    </row>
    <row r="16" spans="1:41" x14ac:dyDescent="0.4">
      <c r="A16">
        <v>4</v>
      </c>
      <c r="B16" s="4">
        <v>2685</v>
      </c>
      <c r="C16" s="10" t="s">
        <v>44</v>
      </c>
      <c r="D16">
        <v>2445</v>
      </c>
      <c r="E16">
        <f t="shared" si="0"/>
        <v>2445</v>
      </c>
      <c r="F16">
        <v>2400</v>
      </c>
      <c r="G16">
        <v>0</v>
      </c>
      <c r="H16">
        <v>739</v>
      </c>
      <c r="I16">
        <v>7</v>
      </c>
      <c r="J16" s="18">
        <f t="shared" si="1"/>
        <v>30.51124744376278</v>
      </c>
      <c r="K16" s="18">
        <f t="shared" si="2"/>
        <v>0.28629856850715746</v>
      </c>
      <c r="L16">
        <v>1654</v>
      </c>
      <c r="M16">
        <v>7</v>
      </c>
      <c r="N16">
        <v>739</v>
      </c>
      <c r="O16">
        <f t="shared" si="3"/>
        <v>746</v>
      </c>
      <c r="P16" s="18">
        <f t="shared" si="4"/>
        <v>0.93833780160857905</v>
      </c>
      <c r="Q16">
        <v>37</v>
      </c>
      <c r="R16" s="18">
        <f t="shared" si="5"/>
        <v>4.9597855227882039</v>
      </c>
      <c r="S16">
        <v>709</v>
      </c>
      <c r="T16">
        <v>0</v>
      </c>
      <c r="U16">
        <v>0</v>
      </c>
      <c r="V16">
        <v>26</v>
      </c>
      <c r="W16" s="18">
        <f t="shared" si="6"/>
        <v>3.4852546916890081</v>
      </c>
      <c r="X16">
        <v>494</v>
      </c>
      <c r="Y16" s="18">
        <f t="shared" si="7"/>
        <v>66.219839142091146</v>
      </c>
      <c r="Z16">
        <v>96</v>
      </c>
      <c r="AA16" s="18">
        <f t="shared" si="8"/>
        <v>12.868632707774799</v>
      </c>
      <c r="AB16">
        <v>22</v>
      </c>
      <c r="AC16" s="18">
        <f t="shared" si="9"/>
        <v>2.9490616621983916</v>
      </c>
      <c r="AD16">
        <v>48</v>
      </c>
      <c r="AE16" s="18">
        <f t="shared" si="10"/>
        <v>6.4343163538873993</v>
      </c>
      <c r="AF16">
        <v>5</v>
      </c>
      <c r="AG16" s="18">
        <f t="shared" si="11"/>
        <v>0.67024128686327078</v>
      </c>
      <c r="AH16">
        <v>18</v>
      </c>
      <c r="AI16" s="18">
        <f t="shared" si="12"/>
        <v>2.4128686327077746</v>
      </c>
      <c r="AJ16" t="s">
        <v>33</v>
      </c>
      <c r="AK16">
        <v>3</v>
      </c>
      <c r="AL16" t="s">
        <v>200</v>
      </c>
      <c r="AM16"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255.60480809784909</v>
      </c>
      <c r="AN16" s="6">
        <f>2*(Дума_партии[[#This Row],[2. Всероссийская политическая партия "ЕДИНАЯ РОССИЯ"]]-(W$75/100)*Дума_партии[[#This Row],[Число действительных бюллетеней]])</f>
        <v>242.41560000000004</v>
      </c>
      <c r="AO16" s="6">
        <f>(Дума_партии[[#This Row],[Вброс]]+Дума_партии[[#This Row],[Перекладывание]])/2</f>
        <v>249.01020404892455</v>
      </c>
    </row>
    <row r="17" spans="1:41" x14ac:dyDescent="0.4">
      <c r="A17">
        <v>4</v>
      </c>
      <c r="B17" s="4">
        <v>2686</v>
      </c>
      <c r="C17" s="10" t="s">
        <v>44</v>
      </c>
      <c r="D17">
        <v>1999</v>
      </c>
      <c r="E17">
        <f t="shared" si="0"/>
        <v>1999</v>
      </c>
      <c r="F17">
        <v>2000</v>
      </c>
      <c r="G17">
        <v>0</v>
      </c>
      <c r="H17">
        <v>435</v>
      </c>
      <c r="I17">
        <v>14</v>
      </c>
      <c r="J17" s="18">
        <f t="shared" si="1"/>
        <v>22.461230615307652</v>
      </c>
      <c r="K17" s="18">
        <f t="shared" si="2"/>
        <v>0.70035017508754382</v>
      </c>
      <c r="L17">
        <v>1551</v>
      </c>
      <c r="M17">
        <v>14</v>
      </c>
      <c r="N17">
        <v>435</v>
      </c>
      <c r="O17">
        <f t="shared" si="3"/>
        <v>449</v>
      </c>
      <c r="P17" s="18">
        <f t="shared" si="4"/>
        <v>3.1180400890868598</v>
      </c>
      <c r="Q17">
        <v>24</v>
      </c>
      <c r="R17" s="18">
        <f t="shared" si="5"/>
        <v>5.3452115812917596</v>
      </c>
      <c r="S17">
        <v>425</v>
      </c>
      <c r="T17">
        <v>0</v>
      </c>
      <c r="U17">
        <v>0</v>
      </c>
      <c r="V17">
        <v>41</v>
      </c>
      <c r="W17" s="18">
        <f t="shared" si="6"/>
        <v>9.1314031180400885</v>
      </c>
      <c r="X17">
        <v>181</v>
      </c>
      <c r="Y17" s="18">
        <f t="shared" si="7"/>
        <v>40.311804008908688</v>
      </c>
      <c r="Z17">
        <v>69</v>
      </c>
      <c r="AA17" s="18">
        <f t="shared" si="8"/>
        <v>15.367483296213809</v>
      </c>
      <c r="AB17">
        <v>43</v>
      </c>
      <c r="AC17" s="18">
        <f t="shared" si="9"/>
        <v>9.5768374164810695</v>
      </c>
      <c r="AD17">
        <v>30</v>
      </c>
      <c r="AE17" s="18">
        <f t="shared" si="10"/>
        <v>6.6815144766146997</v>
      </c>
      <c r="AF17">
        <v>38</v>
      </c>
      <c r="AG17" s="18">
        <f t="shared" si="11"/>
        <v>8.4632516703786198</v>
      </c>
      <c r="AH17">
        <v>23</v>
      </c>
      <c r="AI17" s="18">
        <f t="shared" si="12"/>
        <v>5.1224944320712691</v>
      </c>
      <c r="AJ17" t="s">
        <v>33</v>
      </c>
      <c r="AK17">
        <v>1</v>
      </c>
      <c r="AL17" t="s">
        <v>200</v>
      </c>
      <c r="AM17"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-89.550822437789861</v>
      </c>
      <c r="AN17" s="6">
        <f>2*(Дума_партии[[#This Row],[2. Всероссийская политическая партия "ЕДИНАЯ РОССИЯ"]]-(W$75/100)*Дума_партии[[#This Row],[Число действительных бюллетеней]])</f>
        <v>-84.92999999999995</v>
      </c>
      <c r="AO17" s="6">
        <f>(Дума_партии[[#This Row],[Вброс]]+Дума_партии[[#This Row],[Перекладывание]])/2</f>
        <v>-87.240411218894906</v>
      </c>
    </row>
    <row r="18" spans="1:41" x14ac:dyDescent="0.4">
      <c r="A18">
        <v>4</v>
      </c>
      <c r="B18" s="4">
        <v>2687</v>
      </c>
      <c r="C18" s="10" t="s">
        <v>44</v>
      </c>
      <c r="D18">
        <v>1100</v>
      </c>
      <c r="E18">
        <f t="shared" si="0"/>
        <v>1100</v>
      </c>
      <c r="F18">
        <v>1100</v>
      </c>
      <c r="G18">
        <v>0</v>
      </c>
      <c r="H18">
        <v>290</v>
      </c>
      <c r="I18">
        <v>7</v>
      </c>
      <c r="J18" s="18">
        <f t="shared" si="1"/>
        <v>27</v>
      </c>
      <c r="K18" s="18">
        <f t="shared" si="2"/>
        <v>0.63636363636363635</v>
      </c>
      <c r="L18">
        <v>803</v>
      </c>
      <c r="M18">
        <v>7</v>
      </c>
      <c r="N18">
        <v>290</v>
      </c>
      <c r="O18">
        <f t="shared" si="3"/>
        <v>297</v>
      </c>
      <c r="P18" s="18">
        <f t="shared" si="4"/>
        <v>2.3569023569023568</v>
      </c>
      <c r="Q18">
        <v>2</v>
      </c>
      <c r="R18" s="18">
        <f t="shared" si="5"/>
        <v>0.67340067340067344</v>
      </c>
      <c r="S18">
        <v>295</v>
      </c>
      <c r="T18">
        <v>0</v>
      </c>
      <c r="U18">
        <v>0</v>
      </c>
      <c r="V18">
        <v>23</v>
      </c>
      <c r="W18" s="18">
        <f t="shared" si="6"/>
        <v>7.7441077441077439</v>
      </c>
      <c r="X18">
        <v>198</v>
      </c>
      <c r="Y18" s="18">
        <f t="shared" si="7"/>
        <v>66.666666666666671</v>
      </c>
      <c r="Z18">
        <v>25</v>
      </c>
      <c r="AA18" s="18">
        <f t="shared" si="8"/>
        <v>8.4175084175084169</v>
      </c>
      <c r="AB18">
        <v>17</v>
      </c>
      <c r="AC18" s="18">
        <f t="shared" si="9"/>
        <v>5.7239057239057241</v>
      </c>
      <c r="AD18">
        <v>7</v>
      </c>
      <c r="AE18" s="18">
        <f t="shared" si="10"/>
        <v>2.3569023569023568</v>
      </c>
      <c r="AF18">
        <v>18</v>
      </c>
      <c r="AG18" s="18">
        <f t="shared" si="11"/>
        <v>6.0606060606060606</v>
      </c>
      <c r="AH18">
        <v>7</v>
      </c>
      <c r="AI18" s="18">
        <f t="shared" si="12"/>
        <v>2.3569023569023568</v>
      </c>
      <c r="AJ18" t="s">
        <v>33</v>
      </c>
      <c r="AK18">
        <v>1</v>
      </c>
      <c r="AL18" t="s">
        <v>200</v>
      </c>
      <c r="AM18"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90.444959932517961</v>
      </c>
      <c r="AN18" s="6">
        <f>2*(Дума_партии[[#This Row],[2. Всероссийская политическая партия "ЕДИНАЯ РОССИЯ"]]-(W$75/100)*Дума_партии[[#This Row],[Число действительных бюллетеней]])</f>
        <v>85.77800000000002</v>
      </c>
      <c r="AO18" s="6">
        <f>(Дума_партии[[#This Row],[Вброс]]+Дума_партии[[#This Row],[Перекладывание]])/2</f>
        <v>88.111479966258997</v>
      </c>
    </row>
    <row r="19" spans="1:41" x14ac:dyDescent="0.4">
      <c r="A19">
        <v>5</v>
      </c>
      <c r="B19" s="4">
        <v>2688</v>
      </c>
      <c r="C19" s="10" t="s">
        <v>44</v>
      </c>
      <c r="D19">
        <v>1775</v>
      </c>
      <c r="E19">
        <f t="shared" si="0"/>
        <v>1775</v>
      </c>
      <c r="F19">
        <v>1700</v>
      </c>
      <c r="G19">
        <v>0</v>
      </c>
      <c r="H19">
        <v>504</v>
      </c>
      <c r="I19">
        <v>26</v>
      </c>
      <c r="J19" s="18">
        <f t="shared" si="1"/>
        <v>29.859154929577464</v>
      </c>
      <c r="K19" s="18">
        <f t="shared" si="2"/>
        <v>1.4647887323943662</v>
      </c>
      <c r="L19">
        <v>1170</v>
      </c>
      <c r="M19">
        <v>26</v>
      </c>
      <c r="N19">
        <v>504</v>
      </c>
      <c r="O19">
        <f t="shared" si="3"/>
        <v>530</v>
      </c>
      <c r="P19" s="18">
        <f t="shared" si="4"/>
        <v>4.9056603773584904</v>
      </c>
      <c r="Q19">
        <v>5</v>
      </c>
      <c r="R19" s="18">
        <f t="shared" si="5"/>
        <v>0.94339622641509435</v>
      </c>
      <c r="S19">
        <v>525</v>
      </c>
      <c r="T19">
        <v>0</v>
      </c>
      <c r="U19">
        <v>0</v>
      </c>
      <c r="V19">
        <v>28</v>
      </c>
      <c r="W19" s="18">
        <f t="shared" si="6"/>
        <v>5.283018867924528</v>
      </c>
      <c r="X19">
        <v>385</v>
      </c>
      <c r="Y19" s="18">
        <f t="shared" si="7"/>
        <v>72.64150943396227</v>
      </c>
      <c r="Z19">
        <v>33</v>
      </c>
      <c r="AA19" s="18">
        <f t="shared" si="8"/>
        <v>6.2264150943396226</v>
      </c>
      <c r="AB19">
        <v>25</v>
      </c>
      <c r="AC19" s="18">
        <f t="shared" si="9"/>
        <v>4.716981132075472</v>
      </c>
      <c r="AD19">
        <v>23</v>
      </c>
      <c r="AE19" s="18">
        <f t="shared" si="10"/>
        <v>4.3396226415094343</v>
      </c>
      <c r="AF19">
        <v>10</v>
      </c>
      <c r="AG19" s="18">
        <f t="shared" si="11"/>
        <v>1.8867924528301887</v>
      </c>
      <c r="AH19">
        <v>21</v>
      </c>
      <c r="AI19" s="18">
        <f t="shared" si="12"/>
        <v>3.9622641509433962</v>
      </c>
      <c r="AJ19" t="s">
        <v>33</v>
      </c>
      <c r="AK19">
        <v>1</v>
      </c>
      <c r="AL19" t="s">
        <v>200</v>
      </c>
      <c r="AM19"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229.76592155208778</v>
      </c>
      <c r="AN19" s="6">
        <f>2*(Дума_партии[[#This Row],[2. Всероссийская политическая партия "ЕДИНАЯ РОССИЯ"]]-(W$75/100)*Дума_партии[[#This Row],[Число действительных бюллетеней]])</f>
        <v>217.91000000000008</v>
      </c>
      <c r="AO19" s="6">
        <f>(Дума_партии[[#This Row],[Вброс]]+Дума_партии[[#This Row],[Перекладывание]])/2</f>
        <v>223.83796077604393</v>
      </c>
    </row>
    <row r="20" spans="1:41" x14ac:dyDescent="0.4">
      <c r="A20">
        <v>5</v>
      </c>
      <c r="B20" s="4">
        <v>2690</v>
      </c>
      <c r="C20" t="s">
        <v>47</v>
      </c>
      <c r="D20">
        <v>584</v>
      </c>
      <c r="E20">
        <f t="shared" si="0"/>
        <v>584</v>
      </c>
      <c r="F20">
        <v>580</v>
      </c>
      <c r="G20">
        <v>0</v>
      </c>
      <c r="H20">
        <v>100</v>
      </c>
      <c r="I20">
        <v>51</v>
      </c>
      <c r="J20" s="18">
        <f t="shared" si="1"/>
        <v>25.856164383561644</v>
      </c>
      <c r="K20" s="18">
        <f t="shared" si="2"/>
        <v>8.7328767123287676</v>
      </c>
      <c r="L20">
        <v>429</v>
      </c>
      <c r="M20">
        <v>51</v>
      </c>
      <c r="N20">
        <v>100</v>
      </c>
      <c r="O20">
        <f t="shared" si="3"/>
        <v>151</v>
      </c>
      <c r="P20" s="18">
        <f t="shared" si="4"/>
        <v>33.774834437086092</v>
      </c>
      <c r="Q20">
        <v>5</v>
      </c>
      <c r="R20" s="18">
        <f t="shared" si="5"/>
        <v>3.3112582781456954</v>
      </c>
      <c r="S20">
        <v>146</v>
      </c>
      <c r="T20">
        <v>0</v>
      </c>
      <c r="U20">
        <v>0</v>
      </c>
      <c r="V20">
        <v>2</v>
      </c>
      <c r="W20" s="18">
        <f t="shared" si="6"/>
        <v>1.3245033112582782</v>
      </c>
      <c r="X20">
        <v>101</v>
      </c>
      <c r="Y20" s="18">
        <f t="shared" si="7"/>
        <v>66.88741721854305</v>
      </c>
      <c r="Z20">
        <v>19</v>
      </c>
      <c r="AA20" s="18">
        <f t="shared" si="8"/>
        <v>12.582781456953642</v>
      </c>
      <c r="AB20">
        <v>5</v>
      </c>
      <c r="AC20" s="18">
        <f t="shared" si="9"/>
        <v>3.3112582781456954</v>
      </c>
      <c r="AD20">
        <v>6</v>
      </c>
      <c r="AE20" s="18">
        <f t="shared" si="10"/>
        <v>3.9735099337748343</v>
      </c>
      <c r="AF20">
        <v>11</v>
      </c>
      <c r="AG20" s="18">
        <f t="shared" si="11"/>
        <v>7.2847682119205297</v>
      </c>
      <c r="AH20">
        <v>2</v>
      </c>
      <c r="AI20" s="18">
        <f t="shared" si="12"/>
        <v>1.3245033112582782</v>
      </c>
      <c r="AJ20">
        <v>2017</v>
      </c>
      <c r="AK20">
        <v>1</v>
      </c>
      <c r="AL20" t="s">
        <v>200</v>
      </c>
      <c r="AM20"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51.103331927456786</v>
      </c>
      <c r="AN20" s="6">
        <f>2*(Дума_партии[[#This Row],[2. Всероссийская политическая партия "ЕДИНАЯ РОССИЯ"]]-(W$75/100)*Дума_партии[[#This Row],[Число действительных бюллетеней]])</f>
        <v>48.466400000000021</v>
      </c>
      <c r="AO20" s="6">
        <f>(Дума_партии[[#This Row],[Вброс]]+Дума_партии[[#This Row],[Перекладывание]])/2</f>
        <v>49.784865963728407</v>
      </c>
    </row>
    <row r="21" spans="1:41" x14ac:dyDescent="0.4">
      <c r="A21">
        <v>5</v>
      </c>
      <c r="B21" s="4">
        <v>2716</v>
      </c>
      <c r="C21" t="s">
        <v>48</v>
      </c>
      <c r="D21">
        <v>1403</v>
      </c>
      <c r="E21">
        <f t="shared" si="0"/>
        <v>1403</v>
      </c>
      <c r="F21">
        <v>1400</v>
      </c>
      <c r="G21">
        <v>0</v>
      </c>
      <c r="H21">
        <v>197</v>
      </c>
      <c r="I21">
        <v>13</v>
      </c>
      <c r="J21" s="18">
        <f t="shared" si="1"/>
        <v>14.96792587312901</v>
      </c>
      <c r="K21" s="18">
        <f t="shared" si="2"/>
        <v>0.9265858873841768</v>
      </c>
      <c r="L21">
        <v>1190</v>
      </c>
      <c r="M21">
        <v>13</v>
      </c>
      <c r="N21">
        <v>197</v>
      </c>
      <c r="O21">
        <f t="shared" si="3"/>
        <v>210</v>
      </c>
      <c r="P21" s="18">
        <f t="shared" si="4"/>
        <v>6.1904761904761907</v>
      </c>
      <c r="Q21">
        <v>8</v>
      </c>
      <c r="R21" s="18">
        <f t="shared" si="5"/>
        <v>3.8095238095238093</v>
      </c>
      <c r="S21">
        <v>202</v>
      </c>
      <c r="T21">
        <v>0</v>
      </c>
      <c r="U21">
        <v>0</v>
      </c>
      <c r="V21">
        <v>21</v>
      </c>
      <c r="W21" s="18">
        <f t="shared" si="6"/>
        <v>10</v>
      </c>
      <c r="X21">
        <v>113</v>
      </c>
      <c r="Y21" s="18">
        <f t="shared" si="7"/>
        <v>53.80952380952381</v>
      </c>
      <c r="Z21">
        <v>16</v>
      </c>
      <c r="AA21" s="18">
        <f t="shared" si="8"/>
        <v>7.6190476190476186</v>
      </c>
      <c r="AB21">
        <v>15</v>
      </c>
      <c r="AC21" s="18">
        <f t="shared" si="9"/>
        <v>7.1428571428571432</v>
      </c>
      <c r="AD21">
        <v>9</v>
      </c>
      <c r="AE21" s="18">
        <f t="shared" si="10"/>
        <v>4.2857142857142856</v>
      </c>
      <c r="AF21">
        <v>18</v>
      </c>
      <c r="AG21" s="18">
        <f t="shared" si="11"/>
        <v>8.5714285714285712</v>
      </c>
      <c r="AH21">
        <v>10</v>
      </c>
      <c r="AI21" s="18">
        <f t="shared" si="12"/>
        <v>4.7619047619047619</v>
      </c>
      <c r="AJ21" t="s">
        <v>33</v>
      </c>
      <c r="AK21"/>
      <c r="AL21"/>
      <c r="AM21"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14.31547870097009</v>
      </c>
      <c r="AN21" s="6">
        <f>2*(Дума_партии[[#This Row],[2. Всероссийская политическая партия "ЕДИНАЯ РОССИЯ"]]-(W$75/100)*Дума_партии[[#This Row],[Число действительных бюллетеней]])</f>
        <v>13.57680000000002</v>
      </c>
      <c r="AO21" s="6">
        <f>(Дума_партии[[#This Row],[Вброс]]+Дума_партии[[#This Row],[Перекладывание]])/2</f>
        <v>13.946139350485055</v>
      </c>
    </row>
    <row r="22" spans="1:41" x14ac:dyDescent="0.4">
      <c r="A22">
        <v>5</v>
      </c>
      <c r="B22" s="4">
        <v>2717</v>
      </c>
      <c r="C22" t="s">
        <v>49</v>
      </c>
      <c r="D22">
        <v>1275</v>
      </c>
      <c r="E22">
        <f t="shared" si="0"/>
        <v>1275</v>
      </c>
      <c r="F22">
        <v>1200</v>
      </c>
      <c r="G22">
        <v>0</v>
      </c>
      <c r="H22">
        <v>390</v>
      </c>
      <c r="I22">
        <v>81</v>
      </c>
      <c r="J22" s="18">
        <f t="shared" si="1"/>
        <v>36.941176470588232</v>
      </c>
      <c r="K22" s="18">
        <f t="shared" si="2"/>
        <v>6.3529411764705879</v>
      </c>
      <c r="L22">
        <v>729</v>
      </c>
      <c r="M22">
        <v>81</v>
      </c>
      <c r="N22">
        <v>390</v>
      </c>
      <c r="O22">
        <f t="shared" si="3"/>
        <v>471</v>
      </c>
      <c r="P22" s="18">
        <f t="shared" si="4"/>
        <v>17.197452229299362</v>
      </c>
      <c r="Q22">
        <v>12</v>
      </c>
      <c r="R22" s="18">
        <f t="shared" si="5"/>
        <v>2.5477707006369426</v>
      </c>
      <c r="S22">
        <v>459</v>
      </c>
      <c r="T22">
        <v>0</v>
      </c>
      <c r="U22">
        <v>0</v>
      </c>
      <c r="V22">
        <v>34</v>
      </c>
      <c r="W22" s="18">
        <f t="shared" si="6"/>
        <v>7.2186836518046711</v>
      </c>
      <c r="X22">
        <v>319</v>
      </c>
      <c r="Y22" s="18">
        <f t="shared" si="7"/>
        <v>67.72823779193206</v>
      </c>
      <c r="Z22">
        <v>30</v>
      </c>
      <c r="AA22" s="18">
        <f t="shared" si="8"/>
        <v>6.369426751592357</v>
      </c>
      <c r="AB22">
        <v>30</v>
      </c>
      <c r="AC22" s="18">
        <f t="shared" si="9"/>
        <v>6.369426751592357</v>
      </c>
      <c r="AD22">
        <v>21</v>
      </c>
      <c r="AE22" s="18">
        <f t="shared" si="10"/>
        <v>4.4585987261146496</v>
      </c>
      <c r="AF22">
        <v>14</v>
      </c>
      <c r="AG22" s="18">
        <f t="shared" si="11"/>
        <v>2.9723991507430996</v>
      </c>
      <c r="AH22">
        <v>11</v>
      </c>
      <c r="AI22" s="18">
        <f t="shared" si="12"/>
        <v>2.335456475583864</v>
      </c>
      <c r="AJ22">
        <v>2017</v>
      </c>
      <c r="AK22"/>
      <c r="AL22"/>
      <c r="AM22"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163.76592155208778</v>
      </c>
      <c r="AN22" s="6">
        <f>2*(Дума_партии[[#This Row],[2. Всероссийская политическая партия "ЕДИНАЯ РОССИЯ"]]-(W$75/100)*Дума_партии[[#This Row],[Число действительных бюллетеней]])</f>
        <v>155.31560000000007</v>
      </c>
      <c r="AO22" s="6">
        <f>(Дума_партии[[#This Row],[Вброс]]+Дума_партии[[#This Row],[Перекладывание]])/2</f>
        <v>159.54076077604392</v>
      </c>
    </row>
    <row r="23" spans="1:41" x14ac:dyDescent="0.4">
      <c r="A23">
        <v>6</v>
      </c>
      <c r="B23" s="4">
        <v>2691</v>
      </c>
      <c r="C23" t="s">
        <v>50</v>
      </c>
      <c r="D23">
        <v>1648</v>
      </c>
      <c r="E23">
        <f t="shared" si="0"/>
        <v>1648</v>
      </c>
      <c r="F23">
        <v>1600</v>
      </c>
      <c r="G23">
        <v>0</v>
      </c>
      <c r="H23">
        <v>228</v>
      </c>
      <c r="I23">
        <v>15</v>
      </c>
      <c r="J23" s="18">
        <f t="shared" si="1"/>
        <v>14.745145631067961</v>
      </c>
      <c r="K23" s="18">
        <f t="shared" si="2"/>
        <v>0.91019417475728159</v>
      </c>
      <c r="L23">
        <v>1357</v>
      </c>
      <c r="M23">
        <v>15</v>
      </c>
      <c r="N23">
        <v>228</v>
      </c>
      <c r="O23">
        <f t="shared" si="3"/>
        <v>243</v>
      </c>
      <c r="P23" s="18">
        <f t="shared" si="4"/>
        <v>6.1728395061728394</v>
      </c>
      <c r="Q23">
        <v>10</v>
      </c>
      <c r="R23" s="18">
        <f t="shared" si="5"/>
        <v>4.1152263374485596</v>
      </c>
      <c r="S23">
        <v>233</v>
      </c>
      <c r="T23">
        <v>0</v>
      </c>
      <c r="U23">
        <v>0</v>
      </c>
      <c r="V23">
        <v>16</v>
      </c>
      <c r="W23" s="18">
        <f t="shared" si="6"/>
        <v>6.5843621399176957</v>
      </c>
      <c r="X23">
        <v>118</v>
      </c>
      <c r="Y23" s="18">
        <f t="shared" si="7"/>
        <v>48.559670781893004</v>
      </c>
      <c r="Z23">
        <v>26</v>
      </c>
      <c r="AA23" s="18">
        <f t="shared" si="8"/>
        <v>10.699588477366255</v>
      </c>
      <c r="AB23">
        <v>6</v>
      </c>
      <c r="AC23" s="18">
        <f t="shared" si="9"/>
        <v>2.4691358024691357</v>
      </c>
      <c r="AD23">
        <v>11</v>
      </c>
      <c r="AE23" s="18">
        <f t="shared" si="10"/>
        <v>4.5267489711934159</v>
      </c>
      <c r="AF23">
        <v>48</v>
      </c>
      <c r="AG23" s="18">
        <f t="shared" si="11"/>
        <v>19.753086419753085</v>
      </c>
      <c r="AH23">
        <v>8</v>
      </c>
      <c r="AI23" s="18">
        <f t="shared" si="12"/>
        <v>3.2921810699588478</v>
      </c>
      <c r="AJ23">
        <v>2017</v>
      </c>
      <c r="AK23">
        <v>1</v>
      </c>
      <c r="AL23" t="s">
        <v>201</v>
      </c>
      <c r="AM23"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-9.5137072964993337</v>
      </c>
      <c r="AN23" s="6">
        <f>2*(Дума_партии[[#This Row],[2. Всероссийская политическая партия "ЕДИНАЯ РОССИЯ"]]-(W$75/100)*Дума_партии[[#This Row],[Число действительных бюллетеней]])</f>
        <v>-9.0227999999999611</v>
      </c>
      <c r="AO23" s="6">
        <f>(Дума_партии[[#This Row],[Вброс]]+Дума_партии[[#This Row],[Перекладывание]])/2</f>
        <v>-9.2682536482496474</v>
      </c>
    </row>
    <row r="24" spans="1:41" x14ac:dyDescent="0.4">
      <c r="A24">
        <v>6</v>
      </c>
      <c r="B24" s="4">
        <v>2692</v>
      </c>
      <c r="C24" t="s">
        <v>50</v>
      </c>
      <c r="D24">
        <v>1983</v>
      </c>
      <c r="E24">
        <f t="shared" si="0"/>
        <v>1983</v>
      </c>
      <c r="F24">
        <v>1900</v>
      </c>
      <c r="G24">
        <v>0</v>
      </c>
      <c r="H24">
        <v>212</v>
      </c>
      <c r="I24">
        <v>3</v>
      </c>
      <c r="J24" s="18">
        <f t="shared" si="1"/>
        <v>10.842158345940494</v>
      </c>
      <c r="K24" s="18">
        <f t="shared" si="2"/>
        <v>0.15128593040847202</v>
      </c>
      <c r="L24">
        <v>1685</v>
      </c>
      <c r="M24">
        <v>3</v>
      </c>
      <c r="N24">
        <v>212</v>
      </c>
      <c r="O24">
        <f t="shared" si="3"/>
        <v>215</v>
      </c>
      <c r="P24" s="18">
        <f t="shared" si="4"/>
        <v>1.3953488372093024</v>
      </c>
      <c r="Q24">
        <v>9</v>
      </c>
      <c r="R24" s="18">
        <f t="shared" si="5"/>
        <v>4.1860465116279073</v>
      </c>
      <c r="S24">
        <v>206</v>
      </c>
      <c r="T24">
        <v>0</v>
      </c>
      <c r="U24">
        <v>0</v>
      </c>
      <c r="V24">
        <v>17</v>
      </c>
      <c r="W24" s="18">
        <f t="shared" si="6"/>
        <v>7.9069767441860463</v>
      </c>
      <c r="X24">
        <v>101</v>
      </c>
      <c r="Y24" s="18">
        <f t="shared" si="7"/>
        <v>46.97674418604651</v>
      </c>
      <c r="Z24">
        <v>19</v>
      </c>
      <c r="AA24" s="18">
        <f t="shared" si="8"/>
        <v>8.8372093023255811</v>
      </c>
      <c r="AB24">
        <v>18</v>
      </c>
      <c r="AC24" s="18">
        <f t="shared" si="9"/>
        <v>8.3720930232558146</v>
      </c>
      <c r="AD24">
        <v>5</v>
      </c>
      <c r="AE24" s="18">
        <f t="shared" si="10"/>
        <v>2.3255813953488373</v>
      </c>
      <c r="AF24">
        <v>40</v>
      </c>
      <c r="AG24" s="18">
        <f t="shared" si="11"/>
        <v>18.604651162790699</v>
      </c>
      <c r="AH24">
        <v>6</v>
      </c>
      <c r="AI24" s="18">
        <f t="shared" si="12"/>
        <v>2.7906976744186047</v>
      </c>
      <c r="AJ24">
        <v>2017</v>
      </c>
      <c r="AK24">
        <v>2</v>
      </c>
      <c r="AL24" t="s">
        <v>203</v>
      </c>
      <c r="AM24"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-15.425558835934169</v>
      </c>
      <c r="AN24" s="6">
        <f>2*(Дума_партии[[#This Row],[2. Всероссийская политическая партия "ЕДИНАЯ РОССИЯ"]]-(W$75/100)*Дума_партии[[#This Row],[Число действительных бюллетеней]])</f>
        <v>-14.629599999999982</v>
      </c>
      <c r="AO24" s="6">
        <f>(Дума_партии[[#This Row],[Вброс]]+Дума_партии[[#This Row],[Перекладывание]])/2</f>
        <v>-15.027579417967075</v>
      </c>
    </row>
    <row r="25" spans="1:41" x14ac:dyDescent="0.4">
      <c r="A25">
        <v>6</v>
      </c>
      <c r="B25" s="4">
        <v>2965</v>
      </c>
      <c r="C25" t="s">
        <v>51</v>
      </c>
      <c r="D25">
        <v>1847</v>
      </c>
      <c r="E25">
        <f t="shared" si="0"/>
        <v>1847</v>
      </c>
      <c r="F25">
        <v>1800</v>
      </c>
      <c r="G25">
        <v>0</v>
      </c>
      <c r="H25">
        <v>328</v>
      </c>
      <c r="I25">
        <v>8</v>
      </c>
      <c r="J25" s="18">
        <f t="shared" si="1"/>
        <v>18.191662154845694</v>
      </c>
      <c r="K25" s="18">
        <f t="shared" si="2"/>
        <v>0.43313481321061181</v>
      </c>
      <c r="L25">
        <v>1464</v>
      </c>
      <c r="M25">
        <v>8</v>
      </c>
      <c r="N25">
        <v>328</v>
      </c>
      <c r="O25">
        <f t="shared" si="3"/>
        <v>336</v>
      </c>
      <c r="P25" s="18">
        <f t="shared" si="4"/>
        <v>2.3809523809523809</v>
      </c>
      <c r="Q25">
        <v>20</v>
      </c>
      <c r="R25" s="18">
        <f t="shared" si="5"/>
        <v>5.9523809523809526</v>
      </c>
      <c r="S25">
        <v>316</v>
      </c>
      <c r="T25">
        <v>0</v>
      </c>
      <c r="U25">
        <v>0</v>
      </c>
      <c r="V25">
        <v>13</v>
      </c>
      <c r="W25" s="18">
        <f t="shared" si="6"/>
        <v>3.8690476190476191</v>
      </c>
      <c r="X25">
        <v>162</v>
      </c>
      <c r="Y25" s="18">
        <f t="shared" si="7"/>
        <v>48.214285714285715</v>
      </c>
      <c r="Z25">
        <v>36</v>
      </c>
      <c r="AA25" s="18">
        <f t="shared" si="8"/>
        <v>10.714285714285714</v>
      </c>
      <c r="AB25">
        <v>16</v>
      </c>
      <c r="AC25" s="18">
        <f t="shared" si="9"/>
        <v>4.7619047619047619</v>
      </c>
      <c r="AD25">
        <v>8</v>
      </c>
      <c r="AE25" s="18">
        <f t="shared" si="10"/>
        <v>2.3809523809523809</v>
      </c>
      <c r="AF25">
        <v>72</v>
      </c>
      <c r="AG25" s="18">
        <f t="shared" si="11"/>
        <v>21.428571428571427</v>
      </c>
      <c r="AH25">
        <v>9</v>
      </c>
      <c r="AI25" s="18">
        <f t="shared" si="12"/>
        <v>2.6785714285714284</v>
      </c>
      <c r="AJ25" t="s">
        <v>33</v>
      </c>
      <c r="AK25">
        <v>2</v>
      </c>
      <c r="AL25" t="s">
        <v>203</v>
      </c>
      <c r="AM25"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-8.7574862927034474</v>
      </c>
      <c r="AN25" s="6">
        <f>2*(Дума_партии[[#This Row],[2. Всероссийская политическая партия "ЕДИНАЯ РОССИЯ"]]-(W$75/100)*Дума_партии[[#This Row],[Число действительных бюллетеней]])</f>
        <v>-8.3055999999999699</v>
      </c>
      <c r="AO25" s="6">
        <f>(Дума_партии[[#This Row],[Вброс]]+Дума_партии[[#This Row],[Перекладывание]])/2</f>
        <v>-8.5315431463517086</v>
      </c>
    </row>
    <row r="26" spans="1:41" x14ac:dyDescent="0.4">
      <c r="A26">
        <v>7</v>
      </c>
      <c r="B26" s="4">
        <v>2694</v>
      </c>
      <c r="C26" t="s">
        <v>50</v>
      </c>
      <c r="D26">
        <v>2713</v>
      </c>
      <c r="E26">
        <f t="shared" si="0"/>
        <v>2713</v>
      </c>
      <c r="F26">
        <v>2700</v>
      </c>
      <c r="G26">
        <v>0</v>
      </c>
      <c r="H26">
        <v>438</v>
      </c>
      <c r="I26">
        <v>2</v>
      </c>
      <c r="J26" s="18">
        <f t="shared" si="1"/>
        <v>16.218208625138224</v>
      </c>
      <c r="K26" s="18">
        <f t="shared" si="2"/>
        <v>7.3719130114264647E-2</v>
      </c>
      <c r="L26">
        <v>2260</v>
      </c>
      <c r="M26">
        <v>2</v>
      </c>
      <c r="N26">
        <v>438</v>
      </c>
      <c r="O26">
        <f t="shared" si="3"/>
        <v>440</v>
      </c>
      <c r="P26" s="18">
        <f t="shared" si="4"/>
        <v>0.45454545454545453</v>
      </c>
      <c r="Q26">
        <v>24</v>
      </c>
      <c r="R26" s="18">
        <f t="shared" si="5"/>
        <v>5.4545454545454541</v>
      </c>
      <c r="S26">
        <v>416</v>
      </c>
      <c r="T26">
        <v>0</v>
      </c>
      <c r="U26">
        <v>0</v>
      </c>
      <c r="V26">
        <v>41</v>
      </c>
      <c r="W26" s="18">
        <f t="shared" si="6"/>
        <v>9.3181818181818183</v>
      </c>
      <c r="X26">
        <v>177</v>
      </c>
      <c r="Y26" s="18">
        <f t="shared" si="7"/>
        <v>40.227272727272727</v>
      </c>
      <c r="Z26">
        <v>48</v>
      </c>
      <c r="AA26" s="18">
        <f t="shared" si="8"/>
        <v>10.909090909090908</v>
      </c>
      <c r="AB26">
        <v>23</v>
      </c>
      <c r="AC26" s="18">
        <f t="shared" si="9"/>
        <v>5.2272727272727275</v>
      </c>
      <c r="AD26">
        <v>15</v>
      </c>
      <c r="AE26" s="18">
        <f t="shared" si="10"/>
        <v>3.4090909090909092</v>
      </c>
      <c r="AF26">
        <v>103</v>
      </c>
      <c r="AG26" s="18">
        <f t="shared" si="11"/>
        <v>23.40909090909091</v>
      </c>
      <c r="AH26">
        <v>9</v>
      </c>
      <c r="AI26" s="18">
        <f t="shared" si="12"/>
        <v>2.0454545454545454</v>
      </c>
      <c r="AJ26">
        <v>2017</v>
      </c>
      <c r="AK26">
        <v>3</v>
      </c>
      <c r="AL26" t="s">
        <v>204</v>
      </c>
      <c r="AM26"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-88.006748207507314</v>
      </c>
      <c r="AN26" s="6">
        <f>2*(Дума_партии[[#This Row],[2. Всероссийская политическая партия "ЕДИНАЯ РОССИЯ"]]-(W$75/100)*Дума_партии[[#This Row],[Число действительных бюллетеней]])</f>
        <v>-83.465599999999938</v>
      </c>
      <c r="AO26" s="6">
        <f>(Дума_партии[[#This Row],[Вброс]]+Дума_партии[[#This Row],[Перекладывание]])/2</f>
        <v>-85.736174103753626</v>
      </c>
    </row>
    <row r="27" spans="1:41" x14ac:dyDescent="0.4">
      <c r="A27">
        <v>7</v>
      </c>
      <c r="B27" s="4">
        <v>2695</v>
      </c>
      <c r="C27" t="s">
        <v>50</v>
      </c>
      <c r="D27">
        <v>2330</v>
      </c>
      <c r="E27">
        <f t="shared" si="0"/>
        <v>2330</v>
      </c>
      <c r="F27">
        <v>2300</v>
      </c>
      <c r="G27">
        <v>0</v>
      </c>
      <c r="H27">
        <v>413</v>
      </c>
      <c r="I27">
        <v>13</v>
      </c>
      <c r="J27" s="18">
        <f t="shared" si="1"/>
        <v>18.283261802575108</v>
      </c>
      <c r="K27" s="18">
        <f t="shared" si="2"/>
        <v>0.55793991416309008</v>
      </c>
      <c r="L27">
        <v>1874</v>
      </c>
      <c r="M27">
        <v>13</v>
      </c>
      <c r="N27">
        <v>413</v>
      </c>
      <c r="O27">
        <f t="shared" si="3"/>
        <v>426</v>
      </c>
      <c r="P27" s="18">
        <f t="shared" si="4"/>
        <v>3.051643192488263</v>
      </c>
      <c r="Q27">
        <v>21</v>
      </c>
      <c r="R27" s="18">
        <f t="shared" si="5"/>
        <v>4.929577464788732</v>
      </c>
      <c r="S27">
        <v>405</v>
      </c>
      <c r="T27">
        <v>0</v>
      </c>
      <c r="U27">
        <v>0</v>
      </c>
      <c r="V27">
        <v>39</v>
      </c>
      <c r="W27" s="18">
        <f t="shared" si="6"/>
        <v>9.1549295774647881</v>
      </c>
      <c r="X27">
        <v>193</v>
      </c>
      <c r="Y27" s="18">
        <f t="shared" si="7"/>
        <v>45.305164319248824</v>
      </c>
      <c r="Z27">
        <v>35</v>
      </c>
      <c r="AA27" s="18">
        <f t="shared" si="8"/>
        <v>8.215962441314554</v>
      </c>
      <c r="AB27">
        <v>22</v>
      </c>
      <c r="AC27" s="18">
        <f t="shared" si="9"/>
        <v>5.164319248826291</v>
      </c>
      <c r="AD27">
        <v>15</v>
      </c>
      <c r="AE27" s="18">
        <f t="shared" si="10"/>
        <v>3.5211267605633805</v>
      </c>
      <c r="AF27">
        <v>86</v>
      </c>
      <c r="AG27" s="18">
        <f t="shared" si="11"/>
        <v>20.187793427230048</v>
      </c>
      <c r="AH27">
        <v>15</v>
      </c>
      <c r="AI27" s="18">
        <f t="shared" si="12"/>
        <v>3.5211267605633805</v>
      </c>
      <c r="AJ27">
        <v>2017</v>
      </c>
      <c r="AK27">
        <v>1</v>
      </c>
      <c r="AL27" t="s">
        <v>200</v>
      </c>
      <c r="AM27"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-42.068747363981373</v>
      </c>
      <c r="AN27" s="6">
        <f>2*(Дума_партии[[#This Row],[2. Всероссийская политическая партия "ЕДИНАЯ РОССИЯ"]]-(W$75/100)*Дума_партии[[#This Row],[Число действительных бюллетеней]])</f>
        <v>-39.897999999999968</v>
      </c>
      <c r="AO27" s="6">
        <f>(Дума_партии[[#This Row],[Вброс]]+Дума_партии[[#This Row],[Перекладывание]])/2</f>
        <v>-40.98337368199067</v>
      </c>
    </row>
    <row r="28" spans="1:41" x14ac:dyDescent="0.4">
      <c r="A28">
        <v>8</v>
      </c>
      <c r="B28" s="4">
        <v>2693</v>
      </c>
      <c r="C28" t="s">
        <v>50</v>
      </c>
      <c r="D28">
        <v>1544</v>
      </c>
      <c r="E28">
        <f t="shared" si="0"/>
        <v>1544</v>
      </c>
      <c r="F28">
        <v>1500</v>
      </c>
      <c r="G28">
        <v>0</v>
      </c>
      <c r="H28">
        <v>197</v>
      </c>
      <c r="I28">
        <v>7</v>
      </c>
      <c r="J28" s="18">
        <f t="shared" si="1"/>
        <v>13.212435233160623</v>
      </c>
      <c r="K28" s="18">
        <f t="shared" si="2"/>
        <v>0.45336787564766839</v>
      </c>
      <c r="L28">
        <v>1296</v>
      </c>
      <c r="M28">
        <v>7</v>
      </c>
      <c r="N28">
        <v>196</v>
      </c>
      <c r="O28">
        <f t="shared" si="3"/>
        <v>203</v>
      </c>
      <c r="P28" s="18">
        <f t="shared" si="4"/>
        <v>3.4482758620689653</v>
      </c>
      <c r="Q28">
        <v>5</v>
      </c>
      <c r="R28" s="18">
        <f t="shared" si="5"/>
        <v>2.4630541871921183</v>
      </c>
      <c r="S28">
        <v>198</v>
      </c>
      <c r="T28">
        <v>0</v>
      </c>
      <c r="U28">
        <v>0</v>
      </c>
      <c r="V28">
        <v>27</v>
      </c>
      <c r="W28" s="18">
        <f t="shared" si="6"/>
        <v>13.300492610837438</v>
      </c>
      <c r="X28">
        <v>87</v>
      </c>
      <c r="Y28" s="18">
        <f t="shared" si="7"/>
        <v>42.857142857142854</v>
      </c>
      <c r="Z28">
        <v>19</v>
      </c>
      <c r="AA28" s="18">
        <f t="shared" si="8"/>
        <v>9.3596059113300498</v>
      </c>
      <c r="AB28">
        <v>10</v>
      </c>
      <c r="AC28" s="18">
        <f t="shared" si="9"/>
        <v>4.9261083743842367</v>
      </c>
      <c r="AD28">
        <v>12</v>
      </c>
      <c r="AE28" s="18">
        <f t="shared" si="10"/>
        <v>5.9113300492610836</v>
      </c>
      <c r="AF28">
        <v>40</v>
      </c>
      <c r="AG28" s="18">
        <f t="shared" si="11"/>
        <v>19.704433497536947</v>
      </c>
      <c r="AH28">
        <v>3</v>
      </c>
      <c r="AI28" s="18">
        <f t="shared" si="12"/>
        <v>1.4778325123152709</v>
      </c>
      <c r="AJ28">
        <v>2017</v>
      </c>
      <c r="AK28">
        <v>1</v>
      </c>
      <c r="AL28" t="s">
        <v>200</v>
      </c>
      <c r="AM28"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-36.078447912273262</v>
      </c>
      <c r="AN28" s="6">
        <f>2*(Дума_партии[[#This Row],[2. Всероссийская политическая партия "ЕДИНАЯ РОССИЯ"]]-(W$75/100)*Дума_партии[[#This Row],[Число действительных бюллетеней]])</f>
        <v>-34.216799999999978</v>
      </c>
      <c r="AO28" s="6">
        <f>(Дума_партии[[#This Row],[Вброс]]+Дума_партии[[#This Row],[Перекладывание]])/2</f>
        <v>-35.14762395613662</v>
      </c>
    </row>
    <row r="29" spans="1:41" x14ac:dyDescent="0.4">
      <c r="A29">
        <v>8</v>
      </c>
      <c r="B29" s="4">
        <v>2696</v>
      </c>
      <c r="C29" t="s">
        <v>50</v>
      </c>
      <c r="D29">
        <v>1562</v>
      </c>
      <c r="E29">
        <f t="shared" si="0"/>
        <v>1562</v>
      </c>
      <c r="F29">
        <v>1500</v>
      </c>
      <c r="G29">
        <v>0</v>
      </c>
      <c r="H29">
        <v>223</v>
      </c>
      <c r="I29">
        <v>1</v>
      </c>
      <c r="J29" s="18">
        <f t="shared" si="1"/>
        <v>14.340588988476313</v>
      </c>
      <c r="K29" s="18">
        <f t="shared" si="2"/>
        <v>6.4020486555697823E-2</v>
      </c>
      <c r="L29">
        <v>1276</v>
      </c>
      <c r="M29">
        <v>1</v>
      </c>
      <c r="N29">
        <v>223</v>
      </c>
      <c r="O29">
        <f t="shared" si="3"/>
        <v>224</v>
      </c>
      <c r="P29" s="18">
        <f t="shared" si="4"/>
        <v>0.44642857142857145</v>
      </c>
      <c r="Q29">
        <v>6</v>
      </c>
      <c r="R29" s="18">
        <f t="shared" si="5"/>
        <v>2.6785714285714284</v>
      </c>
      <c r="S29">
        <v>218</v>
      </c>
      <c r="T29">
        <v>0</v>
      </c>
      <c r="U29">
        <v>0</v>
      </c>
      <c r="V29">
        <v>20</v>
      </c>
      <c r="W29" s="18">
        <f t="shared" si="6"/>
        <v>8.9285714285714288</v>
      </c>
      <c r="X29">
        <v>83</v>
      </c>
      <c r="Y29" s="18">
        <f t="shared" si="7"/>
        <v>37.053571428571431</v>
      </c>
      <c r="Z29">
        <v>25</v>
      </c>
      <c r="AA29" s="18">
        <f t="shared" si="8"/>
        <v>11.160714285714286</v>
      </c>
      <c r="AB29">
        <v>17</v>
      </c>
      <c r="AC29" s="18">
        <f t="shared" si="9"/>
        <v>7.5892857142857144</v>
      </c>
      <c r="AD29">
        <v>7</v>
      </c>
      <c r="AE29" s="18">
        <f t="shared" si="10"/>
        <v>3.125</v>
      </c>
      <c r="AF29">
        <v>57</v>
      </c>
      <c r="AG29" s="18">
        <f t="shared" si="11"/>
        <v>25.446428571428573</v>
      </c>
      <c r="AH29">
        <v>9</v>
      </c>
      <c r="AI29" s="18">
        <f t="shared" si="12"/>
        <v>4.0178571428571432</v>
      </c>
      <c r="AJ29" t="s">
        <v>33</v>
      </c>
      <c r="AK29">
        <v>1</v>
      </c>
      <c r="AL29" t="s">
        <v>200</v>
      </c>
      <c r="AM29"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-66.690004217629649</v>
      </c>
      <c r="AN29" s="6">
        <f>2*(Дума_партии[[#This Row],[2. Всероссийская политическая партия "ЕДИНАЯ РОССИЯ"]]-(W$75/100)*Дума_партии[[#This Row],[Число действительных бюллетеней]])</f>
        <v>-63.24879999999996</v>
      </c>
      <c r="AO29" s="6">
        <f>(Дума_партии[[#This Row],[Вброс]]+Дума_партии[[#This Row],[Перекладывание]])/2</f>
        <v>-64.969402108814805</v>
      </c>
    </row>
    <row r="30" spans="1:41" x14ac:dyDescent="0.4">
      <c r="A30">
        <v>8</v>
      </c>
      <c r="B30" s="4">
        <v>2697</v>
      </c>
      <c r="C30" t="s">
        <v>50</v>
      </c>
      <c r="D30">
        <v>1783</v>
      </c>
      <c r="E30">
        <f t="shared" si="0"/>
        <v>1783</v>
      </c>
      <c r="F30">
        <v>1700</v>
      </c>
      <c r="G30">
        <v>0</v>
      </c>
      <c r="H30">
        <v>397</v>
      </c>
      <c r="I30">
        <v>16</v>
      </c>
      <c r="J30" s="18">
        <f t="shared" si="1"/>
        <v>23.163208076275939</v>
      </c>
      <c r="K30" s="18">
        <f t="shared" si="2"/>
        <v>0.89736399326977001</v>
      </c>
      <c r="L30">
        <v>1287</v>
      </c>
      <c r="M30">
        <v>16</v>
      </c>
      <c r="N30">
        <v>397</v>
      </c>
      <c r="O30">
        <f t="shared" si="3"/>
        <v>413</v>
      </c>
      <c r="P30" s="18">
        <f t="shared" si="4"/>
        <v>3.87409200968523</v>
      </c>
      <c r="Q30">
        <v>14</v>
      </c>
      <c r="R30" s="18">
        <f t="shared" si="5"/>
        <v>3.3898305084745761</v>
      </c>
      <c r="S30">
        <v>399</v>
      </c>
      <c r="T30">
        <v>0</v>
      </c>
      <c r="U30">
        <v>0</v>
      </c>
      <c r="V30">
        <v>38</v>
      </c>
      <c r="W30" s="18">
        <f t="shared" si="6"/>
        <v>9.2009685230024214</v>
      </c>
      <c r="X30">
        <v>219</v>
      </c>
      <c r="Y30" s="18">
        <f t="shared" si="7"/>
        <v>53.026634382566584</v>
      </c>
      <c r="Z30">
        <v>31</v>
      </c>
      <c r="AA30" s="18">
        <f t="shared" si="8"/>
        <v>7.5060532687651333</v>
      </c>
      <c r="AB30">
        <v>13</v>
      </c>
      <c r="AC30" s="18">
        <f t="shared" si="9"/>
        <v>3.1476997578692494</v>
      </c>
      <c r="AD30">
        <v>8</v>
      </c>
      <c r="AE30" s="18">
        <f t="shared" si="10"/>
        <v>1.937046004842615</v>
      </c>
      <c r="AF30">
        <v>86</v>
      </c>
      <c r="AG30" s="18">
        <f t="shared" si="11"/>
        <v>20.82324455205811</v>
      </c>
      <c r="AH30">
        <v>4</v>
      </c>
      <c r="AI30" s="18">
        <f t="shared" si="12"/>
        <v>0.96852300242130751</v>
      </c>
      <c r="AJ30" t="s">
        <v>33</v>
      </c>
      <c r="AK30">
        <v>1</v>
      </c>
      <c r="AL30" t="s">
        <v>200</v>
      </c>
      <c r="AM30"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19.413327709827144</v>
      </c>
      <c r="AN30" s="6">
        <f>2*(Дума_партии[[#This Row],[2. Всероссийская политическая партия "ЕДИНАЯ РОССИЯ"]]-(W$75/100)*Дума_партии[[#This Row],[Число действительных бюллетеней]])</f>
        <v>18.411600000000078</v>
      </c>
      <c r="AO30" s="6">
        <f>(Дума_партии[[#This Row],[Вброс]]+Дума_партии[[#This Row],[Перекладывание]])/2</f>
        <v>18.912463854913611</v>
      </c>
    </row>
    <row r="31" spans="1:41" x14ac:dyDescent="0.4">
      <c r="A31">
        <v>9</v>
      </c>
      <c r="B31" s="4">
        <v>2712</v>
      </c>
      <c r="C31" t="s">
        <v>52</v>
      </c>
      <c r="D31">
        <v>1150</v>
      </c>
      <c r="E31">
        <f t="shared" si="0"/>
        <v>1150</v>
      </c>
      <c r="F31">
        <v>1100</v>
      </c>
      <c r="G31">
        <v>0</v>
      </c>
      <c r="H31">
        <v>251</v>
      </c>
      <c r="I31">
        <v>3</v>
      </c>
      <c r="J31" s="18">
        <f t="shared" si="1"/>
        <v>22.086956521739129</v>
      </c>
      <c r="K31" s="18">
        <f t="shared" si="2"/>
        <v>0.2608695652173913</v>
      </c>
      <c r="L31">
        <v>846</v>
      </c>
      <c r="M31">
        <v>3</v>
      </c>
      <c r="N31">
        <v>251</v>
      </c>
      <c r="O31">
        <f t="shared" si="3"/>
        <v>254</v>
      </c>
      <c r="P31" s="18">
        <f t="shared" si="4"/>
        <v>1.1811023622047243</v>
      </c>
      <c r="Q31">
        <v>16</v>
      </c>
      <c r="R31" s="18">
        <f t="shared" si="5"/>
        <v>6.2992125984251972</v>
      </c>
      <c r="S31">
        <v>238</v>
      </c>
      <c r="T31">
        <v>0</v>
      </c>
      <c r="U31">
        <v>0</v>
      </c>
      <c r="V31">
        <v>19</v>
      </c>
      <c r="W31" s="18">
        <f t="shared" si="6"/>
        <v>7.4803149606299213</v>
      </c>
      <c r="X31">
        <v>123</v>
      </c>
      <c r="Y31" s="18">
        <f t="shared" si="7"/>
        <v>48.425196850393704</v>
      </c>
      <c r="Z31">
        <v>31</v>
      </c>
      <c r="AA31" s="18">
        <f t="shared" si="8"/>
        <v>12.204724409448819</v>
      </c>
      <c r="AB31">
        <v>12</v>
      </c>
      <c r="AC31" s="18">
        <f t="shared" si="9"/>
        <v>4.7244094488188972</v>
      </c>
      <c r="AD31">
        <v>9</v>
      </c>
      <c r="AE31" s="18">
        <f t="shared" si="10"/>
        <v>3.5433070866141732</v>
      </c>
      <c r="AF31">
        <v>41</v>
      </c>
      <c r="AG31" s="18">
        <f t="shared" si="11"/>
        <v>16.141732283464567</v>
      </c>
      <c r="AH31">
        <v>3</v>
      </c>
      <c r="AI31" s="18">
        <f t="shared" si="12"/>
        <v>1.1811023622047243</v>
      </c>
      <c r="AJ31" t="s">
        <v>33</v>
      </c>
      <c r="AK31">
        <v>1</v>
      </c>
      <c r="AL31" t="s">
        <v>200</v>
      </c>
      <c r="AM31"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-4.5137072964993337</v>
      </c>
      <c r="AN31" s="6">
        <f>2*(Дума_партии[[#This Row],[2. Всероссийская политическая партия "ЕДИНАЯ РОССИЯ"]]-(W$75/100)*Дума_партии[[#This Row],[Число действительных бюллетеней]])</f>
        <v>-4.2807999999999709</v>
      </c>
      <c r="AO31" s="6">
        <f>(Дума_партии[[#This Row],[Вброс]]+Дума_партии[[#This Row],[Перекладывание]])/2</f>
        <v>-4.3972536482496523</v>
      </c>
    </row>
    <row r="32" spans="1:41" x14ac:dyDescent="0.4">
      <c r="A32">
        <v>9</v>
      </c>
      <c r="B32" s="4">
        <v>2713</v>
      </c>
      <c r="C32" t="s">
        <v>53</v>
      </c>
      <c r="D32">
        <v>2823</v>
      </c>
      <c r="E32">
        <f t="shared" si="0"/>
        <v>2823</v>
      </c>
      <c r="F32">
        <v>2700</v>
      </c>
      <c r="G32">
        <v>0</v>
      </c>
      <c r="H32">
        <v>564</v>
      </c>
      <c r="I32">
        <v>15</v>
      </c>
      <c r="J32" s="18">
        <f t="shared" si="1"/>
        <v>20.510095642933049</v>
      </c>
      <c r="K32" s="18">
        <f t="shared" si="2"/>
        <v>0.53134962805526031</v>
      </c>
      <c r="L32">
        <v>2121</v>
      </c>
      <c r="M32">
        <v>15</v>
      </c>
      <c r="N32">
        <v>564</v>
      </c>
      <c r="O32">
        <f t="shared" si="3"/>
        <v>579</v>
      </c>
      <c r="P32" s="18">
        <f t="shared" si="4"/>
        <v>2.5906735751295336</v>
      </c>
      <c r="Q32">
        <v>29</v>
      </c>
      <c r="R32" s="18">
        <f t="shared" si="5"/>
        <v>5.0086355785837648</v>
      </c>
      <c r="S32">
        <v>550</v>
      </c>
      <c r="T32">
        <v>0</v>
      </c>
      <c r="U32">
        <v>0</v>
      </c>
      <c r="V32">
        <v>50</v>
      </c>
      <c r="W32" s="18">
        <f t="shared" si="6"/>
        <v>8.6355785837651116</v>
      </c>
      <c r="X32">
        <v>275</v>
      </c>
      <c r="Y32" s="18">
        <f t="shared" si="7"/>
        <v>47.495682210708118</v>
      </c>
      <c r="Z32">
        <v>76</v>
      </c>
      <c r="AA32" s="18">
        <f t="shared" si="8"/>
        <v>13.12607944732297</v>
      </c>
      <c r="AB32">
        <v>45</v>
      </c>
      <c r="AC32" s="18">
        <f t="shared" si="9"/>
        <v>7.7720207253886011</v>
      </c>
      <c r="AD32">
        <v>34</v>
      </c>
      <c r="AE32" s="18">
        <f t="shared" si="10"/>
        <v>5.8721934369602762</v>
      </c>
      <c r="AF32">
        <v>56</v>
      </c>
      <c r="AG32" s="18">
        <f t="shared" si="11"/>
        <v>9.6718480138169252</v>
      </c>
      <c r="AH32">
        <v>14</v>
      </c>
      <c r="AI32" s="18">
        <f t="shared" si="12"/>
        <v>2.4179620034542313</v>
      </c>
      <c r="AJ32" t="s">
        <v>33</v>
      </c>
      <c r="AK32">
        <v>1</v>
      </c>
      <c r="AL32" t="s">
        <v>200</v>
      </c>
      <c r="AM32"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-29.924082665541903</v>
      </c>
      <c r="AN32" s="6">
        <f>2*(Дума_партии[[#This Row],[2. Всероссийская политическая партия "ЕДИНАЯ РОССИЯ"]]-(W$75/100)*Дума_партии[[#This Row],[Число действительных бюллетеней]])</f>
        <v>-28.379999999999882</v>
      </c>
      <c r="AO32" s="6">
        <f>(Дума_партии[[#This Row],[Вброс]]+Дума_партии[[#This Row],[Перекладывание]])/2</f>
        <v>-29.152041332770892</v>
      </c>
    </row>
    <row r="33" spans="1:41" x14ac:dyDescent="0.4">
      <c r="A33">
        <v>9</v>
      </c>
      <c r="B33" s="4">
        <v>2714</v>
      </c>
      <c r="C33" t="s">
        <v>54</v>
      </c>
      <c r="D33">
        <v>855</v>
      </c>
      <c r="E33">
        <f t="shared" si="0"/>
        <v>855</v>
      </c>
      <c r="F33">
        <v>800</v>
      </c>
      <c r="G33">
        <v>0</v>
      </c>
      <c r="H33">
        <v>136</v>
      </c>
      <c r="I33">
        <v>33</v>
      </c>
      <c r="J33" s="18">
        <f t="shared" si="1"/>
        <v>19.76608187134503</v>
      </c>
      <c r="K33" s="18">
        <f t="shared" si="2"/>
        <v>3.8596491228070176</v>
      </c>
      <c r="L33">
        <v>631</v>
      </c>
      <c r="M33">
        <v>33</v>
      </c>
      <c r="N33">
        <v>136</v>
      </c>
      <c r="O33">
        <f t="shared" si="3"/>
        <v>169</v>
      </c>
      <c r="P33" s="18">
        <f t="shared" si="4"/>
        <v>19.526627218934912</v>
      </c>
      <c r="Q33">
        <v>5</v>
      </c>
      <c r="R33" s="18">
        <f t="shared" si="5"/>
        <v>2.9585798816568047</v>
      </c>
      <c r="S33">
        <v>164</v>
      </c>
      <c r="T33">
        <v>0</v>
      </c>
      <c r="U33">
        <v>0</v>
      </c>
      <c r="V33">
        <v>11</v>
      </c>
      <c r="W33" s="18">
        <f t="shared" si="6"/>
        <v>6.5088757396449708</v>
      </c>
      <c r="X33">
        <v>98</v>
      </c>
      <c r="Y33" s="18">
        <f t="shared" si="7"/>
        <v>57.988165680473372</v>
      </c>
      <c r="Z33">
        <v>21</v>
      </c>
      <c r="AA33" s="18">
        <f t="shared" si="8"/>
        <v>12.42603550295858</v>
      </c>
      <c r="AB33">
        <v>6</v>
      </c>
      <c r="AC33" s="18">
        <f t="shared" si="9"/>
        <v>3.5502958579881656</v>
      </c>
      <c r="AD33">
        <v>8</v>
      </c>
      <c r="AE33" s="18">
        <f t="shared" si="10"/>
        <v>4.7337278106508878</v>
      </c>
      <c r="AF33">
        <v>18</v>
      </c>
      <c r="AG33" s="18">
        <f t="shared" si="11"/>
        <v>10.650887573964496</v>
      </c>
      <c r="AH33">
        <v>2</v>
      </c>
      <c r="AI33" s="18">
        <f t="shared" si="12"/>
        <v>1.1834319526627219</v>
      </c>
      <c r="AJ33" t="s">
        <v>33</v>
      </c>
      <c r="AK33">
        <v>1</v>
      </c>
      <c r="AL33" t="s">
        <v>200</v>
      </c>
      <c r="AM33"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24.818220160269945</v>
      </c>
      <c r="AN33" s="6">
        <f>2*(Дума_партии[[#This Row],[2. Всероссийская политическая партия "ЕДИНАЯ РОССИЯ"]]-(W$75/100)*Дума_партии[[#This Row],[Число действительных бюллетеней]])</f>
        <v>23.537600000000026</v>
      </c>
      <c r="AO33" s="6">
        <f>(Дума_партии[[#This Row],[Вброс]]+Дума_партии[[#This Row],[Перекладывание]])/2</f>
        <v>24.177910080134986</v>
      </c>
    </row>
    <row r="34" spans="1:41" x14ac:dyDescent="0.4">
      <c r="A34">
        <v>9</v>
      </c>
      <c r="B34" s="4">
        <v>2715</v>
      </c>
      <c r="C34" t="s">
        <v>54</v>
      </c>
      <c r="D34">
        <v>772</v>
      </c>
      <c r="E34">
        <f t="shared" si="0"/>
        <v>772</v>
      </c>
      <c r="F34">
        <v>800</v>
      </c>
      <c r="G34">
        <v>0</v>
      </c>
      <c r="H34">
        <v>123</v>
      </c>
      <c r="I34">
        <v>51</v>
      </c>
      <c r="J34" s="18">
        <f t="shared" si="1"/>
        <v>22.538860103626941</v>
      </c>
      <c r="K34" s="18">
        <f t="shared" si="2"/>
        <v>6.6062176165803113</v>
      </c>
      <c r="L34">
        <v>626</v>
      </c>
      <c r="M34">
        <v>51</v>
      </c>
      <c r="N34">
        <v>123</v>
      </c>
      <c r="O34">
        <f t="shared" si="3"/>
        <v>174</v>
      </c>
      <c r="P34" s="18">
        <f t="shared" si="4"/>
        <v>29.310344827586206</v>
      </c>
      <c r="Q34">
        <v>4</v>
      </c>
      <c r="R34" s="18">
        <f t="shared" si="5"/>
        <v>2.2988505747126435</v>
      </c>
      <c r="S34">
        <v>170</v>
      </c>
      <c r="T34">
        <v>0</v>
      </c>
      <c r="U34">
        <v>0</v>
      </c>
      <c r="V34">
        <v>18</v>
      </c>
      <c r="W34" s="18">
        <f t="shared" si="6"/>
        <v>10.344827586206897</v>
      </c>
      <c r="X34">
        <v>78</v>
      </c>
      <c r="Y34" s="18">
        <f t="shared" si="7"/>
        <v>44.827586206896555</v>
      </c>
      <c r="Z34">
        <v>19</v>
      </c>
      <c r="AA34" s="18">
        <f t="shared" si="8"/>
        <v>10.919540229885058</v>
      </c>
      <c r="AB34">
        <v>19</v>
      </c>
      <c r="AC34" s="18">
        <f t="shared" si="9"/>
        <v>10.919540229885058</v>
      </c>
      <c r="AD34">
        <v>10</v>
      </c>
      <c r="AE34" s="18">
        <f t="shared" si="10"/>
        <v>5.7471264367816088</v>
      </c>
      <c r="AF34">
        <v>20</v>
      </c>
      <c r="AG34" s="18">
        <f t="shared" si="11"/>
        <v>11.494252873563218</v>
      </c>
      <c r="AH34">
        <v>6</v>
      </c>
      <c r="AI34" s="18">
        <f t="shared" si="12"/>
        <v>3.4482758620689653</v>
      </c>
      <c r="AJ34" t="s">
        <v>33</v>
      </c>
      <c r="AK34">
        <v>2</v>
      </c>
      <c r="AL34" t="s">
        <v>203</v>
      </c>
      <c r="AM34"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-24.010965837199464</v>
      </c>
      <c r="AN34" s="6">
        <f>2*(Дума_партии[[#This Row],[2. Всероссийская политическая партия "ЕДИНАЯ РОССИЯ"]]-(W$75/100)*Дума_партии[[#This Row],[Число действительных бюллетеней]])</f>
        <v>-22.771999999999991</v>
      </c>
      <c r="AO34" s="6">
        <f>(Дума_партии[[#This Row],[Вброс]]+Дума_партии[[#This Row],[Перекладывание]])/2</f>
        <v>-23.391482918599728</v>
      </c>
    </row>
    <row r="35" spans="1:41" x14ac:dyDescent="0.4">
      <c r="A35">
        <v>10</v>
      </c>
      <c r="B35" s="4">
        <v>2706</v>
      </c>
      <c r="C35" t="s">
        <v>55</v>
      </c>
      <c r="D35">
        <v>411</v>
      </c>
      <c r="E35">
        <f t="shared" si="0"/>
        <v>411</v>
      </c>
      <c r="F35">
        <v>400</v>
      </c>
      <c r="G35">
        <v>0</v>
      </c>
      <c r="H35">
        <v>82</v>
      </c>
      <c r="I35">
        <v>33</v>
      </c>
      <c r="J35" s="18">
        <f t="shared" si="1"/>
        <v>27.980535279805352</v>
      </c>
      <c r="K35" s="18">
        <f t="shared" si="2"/>
        <v>8.0291970802919703</v>
      </c>
      <c r="L35">
        <v>285</v>
      </c>
      <c r="M35">
        <v>33</v>
      </c>
      <c r="N35">
        <v>82</v>
      </c>
      <c r="O35">
        <f t="shared" si="3"/>
        <v>115</v>
      </c>
      <c r="P35" s="18">
        <f t="shared" si="4"/>
        <v>28.695652173913043</v>
      </c>
      <c r="Q35">
        <v>1</v>
      </c>
      <c r="R35" s="18">
        <f t="shared" si="5"/>
        <v>0.86956521739130432</v>
      </c>
      <c r="S35">
        <v>114</v>
      </c>
      <c r="T35">
        <v>0</v>
      </c>
      <c r="U35">
        <v>0</v>
      </c>
      <c r="V35">
        <v>13</v>
      </c>
      <c r="W35" s="18">
        <f t="shared" si="6"/>
        <v>11.304347826086957</v>
      </c>
      <c r="X35">
        <v>62</v>
      </c>
      <c r="Y35" s="18">
        <f t="shared" si="7"/>
        <v>53.913043478260867</v>
      </c>
      <c r="Z35">
        <v>8</v>
      </c>
      <c r="AA35" s="18">
        <f t="shared" si="8"/>
        <v>6.9565217391304346</v>
      </c>
      <c r="AB35">
        <v>17</v>
      </c>
      <c r="AC35" s="18">
        <f t="shared" si="9"/>
        <v>14.782608695652174</v>
      </c>
      <c r="AD35">
        <v>4</v>
      </c>
      <c r="AE35" s="18">
        <f t="shared" si="10"/>
        <v>3.4782608695652173</v>
      </c>
      <c r="AF35">
        <v>9</v>
      </c>
      <c r="AG35" s="18">
        <f t="shared" si="11"/>
        <v>7.8260869565217392</v>
      </c>
      <c r="AH35">
        <v>1</v>
      </c>
      <c r="AI35" s="18">
        <f t="shared" si="12"/>
        <v>0.86956521739130432</v>
      </c>
      <c r="AJ35" t="s">
        <v>33</v>
      </c>
      <c r="AK35">
        <v>1</v>
      </c>
      <c r="AL35" t="s">
        <v>200</v>
      </c>
      <c r="AM35"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4.3416280050611746</v>
      </c>
      <c r="AN35" s="6">
        <f>2*(Дума_партии[[#This Row],[2. Всероссийская политическая партия "ЕДИНАЯ РОССИЯ"]]-(W$75/100)*Дума_партии[[#This Row],[Число действительных бюллетеней]])</f>
        <v>4.1176000000000101</v>
      </c>
      <c r="AO35" s="6">
        <f>(Дума_партии[[#This Row],[Вброс]]+Дума_партии[[#This Row],[Перекладывание]])/2</f>
        <v>4.2296140025305924</v>
      </c>
    </row>
    <row r="36" spans="1:41" x14ac:dyDescent="0.4">
      <c r="A36">
        <v>10</v>
      </c>
      <c r="B36" s="4">
        <v>2707</v>
      </c>
      <c r="C36" t="s">
        <v>56</v>
      </c>
      <c r="D36">
        <v>1211</v>
      </c>
      <c r="E36">
        <f t="shared" si="0"/>
        <v>1211</v>
      </c>
      <c r="F36">
        <v>1100</v>
      </c>
      <c r="G36">
        <v>0</v>
      </c>
      <c r="H36">
        <v>181</v>
      </c>
      <c r="I36">
        <v>91</v>
      </c>
      <c r="J36" s="18">
        <f t="shared" si="1"/>
        <v>22.460776218001651</v>
      </c>
      <c r="K36" s="18">
        <f t="shared" si="2"/>
        <v>7.5144508670520231</v>
      </c>
      <c r="L36">
        <v>828</v>
      </c>
      <c r="M36">
        <v>91</v>
      </c>
      <c r="N36">
        <v>181</v>
      </c>
      <c r="O36">
        <f t="shared" si="3"/>
        <v>272</v>
      </c>
      <c r="P36" s="18">
        <f t="shared" si="4"/>
        <v>33.455882352941174</v>
      </c>
      <c r="Q36">
        <v>11</v>
      </c>
      <c r="R36" s="18">
        <f t="shared" si="5"/>
        <v>4.0441176470588234</v>
      </c>
      <c r="S36">
        <v>261</v>
      </c>
      <c r="T36">
        <v>0</v>
      </c>
      <c r="U36">
        <v>0</v>
      </c>
      <c r="V36">
        <v>16</v>
      </c>
      <c r="W36" s="18">
        <f t="shared" si="6"/>
        <v>5.882352941176471</v>
      </c>
      <c r="X36">
        <v>171</v>
      </c>
      <c r="Y36" s="18">
        <f t="shared" si="7"/>
        <v>62.867647058823529</v>
      </c>
      <c r="Z36">
        <v>19</v>
      </c>
      <c r="AA36" s="18">
        <f t="shared" si="8"/>
        <v>6.9852941176470589</v>
      </c>
      <c r="AB36">
        <v>20</v>
      </c>
      <c r="AC36" s="18">
        <f t="shared" si="9"/>
        <v>7.3529411764705879</v>
      </c>
      <c r="AD36">
        <v>12</v>
      </c>
      <c r="AE36" s="18">
        <f t="shared" si="10"/>
        <v>4.4117647058823533</v>
      </c>
      <c r="AF36">
        <v>19</v>
      </c>
      <c r="AG36" s="18">
        <f t="shared" si="11"/>
        <v>6.9852941176470589</v>
      </c>
      <c r="AH36">
        <v>4</v>
      </c>
      <c r="AI36" s="18">
        <f t="shared" si="12"/>
        <v>1.4705882352941178</v>
      </c>
      <c r="AJ36">
        <v>2017</v>
      </c>
      <c r="AK36">
        <v>2</v>
      </c>
      <c r="AL36" t="s">
        <v>203</v>
      </c>
      <c r="AM36"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71.206663854913572</v>
      </c>
      <c r="AN36" s="6">
        <f>2*(Дума_партии[[#This Row],[2. Всероссийская политическая партия "ЕДИНАЯ РОССИЯ"]]-(W$75/100)*Дума_партии[[#This Row],[Число действительных бюллетеней]])</f>
        <v>67.532400000000052</v>
      </c>
      <c r="AO36" s="6">
        <f>(Дума_партии[[#This Row],[Вброс]]+Дума_партии[[#This Row],[Перекладывание]])/2</f>
        <v>69.369531927456819</v>
      </c>
    </row>
    <row r="37" spans="1:41" x14ac:dyDescent="0.4">
      <c r="A37">
        <v>10</v>
      </c>
      <c r="B37" s="4">
        <v>2708</v>
      </c>
      <c r="C37" t="s">
        <v>57</v>
      </c>
      <c r="D37">
        <v>1067</v>
      </c>
      <c r="E37">
        <f t="shared" si="0"/>
        <v>1067</v>
      </c>
      <c r="F37">
        <v>1000</v>
      </c>
      <c r="G37">
        <v>0</v>
      </c>
      <c r="H37">
        <v>144</v>
      </c>
      <c r="I37">
        <v>57</v>
      </c>
      <c r="J37" s="18">
        <f t="shared" si="1"/>
        <v>18.837863167760077</v>
      </c>
      <c r="K37" s="18">
        <f t="shared" si="2"/>
        <v>5.3420805998125589</v>
      </c>
      <c r="L37">
        <v>799</v>
      </c>
      <c r="M37">
        <v>57</v>
      </c>
      <c r="N37">
        <v>144</v>
      </c>
      <c r="O37">
        <f t="shared" si="3"/>
        <v>201</v>
      </c>
      <c r="P37" s="18">
        <f t="shared" si="4"/>
        <v>28.35820895522388</v>
      </c>
      <c r="Q37">
        <v>7</v>
      </c>
      <c r="R37" s="18">
        <f t="shared" si="5"/>
        <v>3.4825870646766171</v>
      </c>
      <c r="S37">
        <v>194</v>
      </c>
      <c r="T37">
        <v>0</v>
      </c>
      <c r="U37">
        <v>0</v>
      </c>
      <c r="V37">
        <v>16</v>
      </c>
      <c r="W37" s="18">
        <f t="shared" si="6"/>
        <v>7.9601990049751246</v>
      </c>
      <c r="X37">
        <v>118</v>
      </c>
      <c r="Y37" s="18">
        <f t="shared" si="7"/>
        <v>58.706467661691541</v>
      </c>
      <c r="Z37">
        <v>23</v>
      </c>
      <c r="AA37" s="18">
        <f t="shared" si="8"/>
        <v>11.442786069651742</v>
      </c>
      <c r="AB37">
        <v>18</v>
      </c>
      <c r="AC37" s="18">
        <f t="shared" si="9"/>
        <v>8.9552238805970141</v>
      </c>
      <c r="AD37">
        <v>4</v>
      </c>
      <c r="AE37" s="18">
        <f t="shared" si="10"/>
        <v>1.9900497512437811</v>
      </c>
      <c r="AF37">
        <v>13</v>
      </c>
      <c r="AG37" s="18">
        <f t="shared" si="11"/>
        <v>6.4676616915422889</v>
      </c>
      <c r="AH37">
        <v>2</v>
      </c>
      <c r="AI37" s="18">
        <f t="shared" si="12"/>
        <v>0.99502487562189057</v>
      </c>
      <c r="AJ37" t="s">
        <v>33</v>
      </c>
      <c r="AK37">
        <v>1</v>
      </c>
      <c r="AL37" t="s">
        <v>200</v>
      </c>
      <c r="AM37"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33.730071699704794</v>
      </c>
      <c r="AN37" s="6">
        <f>2*(Дума_партии[[#This Row],[2. Всероссийская политическая партия "ЕДИНАЯ РОССИЯ"]]-(W$75/100)*Дума_партии[[#This Row],[Число действительных бюллетеней]])</f>
        <v>31.989600000000024</v>
      </c>
      <c r="AO37" s="6">
        <f>(Дума_партии[[#This Row],[Вброс]]+Дума_партии[[#This Row],[Перекладывание]])/2</f>
        <v>32.859835849852409</v>
      </c>
    </row>
    <row r="38" spans="1:41" x14ac:dyDescent="0.4">
      <c r="A38">
        <v>10</v>
      </c>
      <c r="B38" s="4">
        <v>2709</v>
      </c>
      <c r="C38" t="s">
        <v>57</v>
      </c>
      <c r="D38">
        <v>1465</v>
      </c>
      <c r="E38">
        <f t="shared" si="0"/>
        <v>1465</v>
      </c>
      <c r="F38">
        <v>1400</v>
      </c>
      <c r="G38">
        <v>0</v>
      </c>
      <c r="H38">
        <v>233</v>
      </c>
      <c r="I38">
        <v>70</v>
      </c>
      <c r="J38" s="18">
        <f t="shared" si="1"/>
        <v>20.682593856655291</v>
      </c>
      <c r="K38" s="18">
        <f t="shared" si="2"/>
        <v>4.7781569965870307</v>
      </c>
      <c r="L38">
        <v>1097</v>
      </c>
      <c r="M38">
        <v>70</v>
      </c>
      <c r="N38">
        <v>232</v>
      </c>
      <c r="O38">
        <f t="shared" si="3"/>
        <v>302</v>
      </c>
      <c r="P38" s="18">
        <f t="shared" si="4"/>
        <v>23.178807947019866</v>
      </c>
      <c r="Q38">
        <v>12</v>
      </c>
      <c r="R38" s="18">
        <f t="shared" si="5"/>
        <v>3.9735099337748343</v>
      </c>
      <c r="S38">
        <v>290</v>
      </c>
      <c r="T38">
        <v>0</v>
      </c>
      <c r="U38">
        <v>0</v>
      </c>
      <c r="V38">
        <v>19</v>
      </c>
      <c r="W38" s="18">
        <f t="shared" si="6"/>
        <v>6.2913907284768209</v>
      </c>
      <c r="X38">
        <v>189</v>
      </c>
      <c r="Y38" s="18">
        <f t="shared" si="7"/>
        <v>62.58278145695364</v>
      </c>
      <c r="Z38">
        <v>31</v>
      </c>
      <c r="AA38" s="18">
        <f t="shared" si="8"/>
        <v>10.264900662251655</v>
      </c>
      <c r="AB38">
        <v>12</v>
      </c>
      <c r="AC38" s="18">
        <f t="shared" si="9"/>
        <v>3.9735099337748343</v>
      </c>
      <c r="AD38">
        <v>14</v>
      </c>
      <c r="AE38" s="18">
        <f t="shared" si="10"/>
        <v>4.6357615894039732</v>
      </c>
      <c r="AF38">
        <v>19</v>
      </c>
      <c r="AG38" s="18">
        <f t="shared" si="11"/>
        <v>6.2913907284768209</v>
      </c>
      <c r="AH38">
        <v>6</v>
      </c>
      <c r="AI38" s="18">
        <f t="shared" si="12"/>
        <v>1.9867549668874172</v>
      </c>
      <c r="AJ38">
        <v>2017</v>
      </c>
      <c r="AK38">
        <v>1</v>
      </c>
      <c r="AL38" t="s">
        <v>200</v>
      </c>
      <c r="AM38"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77.009700548291889</v>
      </c>
      <c r="AN38" s="6">
        <f>2*(Дума_партии[[#This Row],[2. Всероссийская политическая партия "ЕДИНАЯ РОССИЯ"]]-(W$75/100)*Дума_партии[[#This Row],[Число действительных бюллетеней]])</f>
        <v>73.036000000000058</v>
      </c>
      <c r="AO38" s="6">
        <f>(Дума_партии[[#This Row],[Вброс]]+Дума_партии[[#This Row],[Перекладывание]])/2</f>
        <v>75.022850274145981</v>
      </c>
    </row>
    <row r="39" spans="1:41" x14ac:dyDescent="0.4">
      <c r="A39">
        <v>10</v>
      </c>
      <c r="B39" s="4">
        <v>2710</v>
      </c>
      <c r="C39" t="s">
        <v>57</v>
      </c>
      <c r="D39">
        <v>982</v>
      </c>
      <c r="E39">
        <f t="shared" si="0"/>
        <v>982</v>
      </c>
      <c r="F39">
        <v>900</v>
      </c>
      <c r="G39">
        <v>0</v>
      </c>
      <c r="H39">
        <v>206</v>
      </c>
      <c r="I39">
        <v>30</v>
      </c>
      <c r="J39" s="18">
        <f t="shared" si="1"/>
        <v>24.032586558044805</v>
      </c>
      <c r="K39" s="18">
        <f t="shared" si="2"/>
        <v>3.0549898167006111</v>
      </c>
      <c r="L39">
        <v>664</v>
      </c>
      <c r="M39">
        <v>30</v>
      </c>
      <c r="N39">
        <v>206</v>
      </c>
      <c r="O39">
        <f t="shared" si="3"/>
        <v>236</v>
      </c>
      <c r="P39" s="18">
        <f t="shared" si="4"/>
        <v>12.711864406779661</v>
      </c>
      <c r="Q39">
        <v>9</v>
      </c>
      <c r="R39" s="18">
        <f t="shared" si="5"/>
        <v>3.8135593220338984</v>
      </c>
      <c r="S39">
        <v>227</v>
      </c>
      <c r="T39">
        <v>0</v>
      </c>
      <c r="U39">
        <v>0</v>
      </c>
      <c r="V39">
        <v>23</v>
      </c>
      <c r="W39" s="18">
        <f t="shared" si="6"/>
        <v>9.7457627118644066</v>
      </c>
      <c r="X39">
        <v>126</v>
      </c>
      <c r="Y39" s="18">
        <f t="shared" si="7"/>
        <v>53.389830508474574</v>
      </c>
      <c r="Z39">
        <v>34</v>
      </c>
      <c r="AA39" s="18">
        <f t="shared" si="8"/>
        <v>14.40677966101695</v>
      </c>
      <c r="AB39">
        <v>13</v>
      </c>
      <c r="AC39" s="18">
        <f t="shared" si="9"/>
        <v>5.5084745762711869</v>
      </c>
      <c r="AD39">
        <v>6</v>
      </c>
      <c r="AE39" s="18">
        <f t="shared" si="10"/>
        <v>2.5423728813559321</v>
      </c>
      <c r="AF39">
        <v>18</v>
      </c>
      <c r="AG39" s="18">
        <f t="shared" si="11"/>
        <v>7.6271186440677967</v>
      </c>
      <c r="AH39">
        <v>7</v>
      </c>
      <c r="AI39" s="18">
        <f t="shared" si="12"/>
        <v>2.9661016949152543</v>
      </c>
      <c r="AJ39">
        <v>2017</v>
      </c>
      <c r="AK39">
        <v>1</v>
      </c>
      <c r="AL39" t="s">
        <v>200</v>
      </c>
      <c r="AM39"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14.009700548291889</v>
      </c>
      <c r="AN39" s="6">
        <f>2*(Дума_партии[[#This Row],[2. Всероссийская политическая партия "ЕДИНАЯ РОССИЯ"]]-(W$75/100)*Дума_партии[[#This Row],[Число действительных бюллетеней]])</f>
        <v>13.286800000000028</v>
      </c>
      <c r="AO39" s="6">
        <f>(Дума_партии[[#This Row],[Вброс]]+Дума_партии[[#This Row],[Перекладывание]])/2</f>
        <v>13.648250274145958</v>
      </c>
    </row>
    <row r="40" spans="1:41" x14ac:dyDescent="0.4">
      <c r="A40">
        <v>10</v>
      </c>
      <c r="B40" s="4">
        <v>2711</v>
      </c>
      <c r="C40" t="s">
        <v>58</v>
      </c>
      <c r="D40">
        <v>448</v>
      </c>
      <c r="E40">
        <f t="shared" si="0"/>
        <v>448</v>
      </c>
      <c r="F40">
        <v>400</v>
      </c>
      <c r="G40">
        <v>0</v>
      </c>
      <c r="H40">
        <v>231</v>
      </c>
      <c r="I40">
        <v>22</v>
      </c>
      <c r="J40" s="18">
        <f t="shared" si="1"/>
        <v>56.473214285714285</v>
      </c>
      <c r="K40" s="18">
        <f t="shared" si="2"/>
        <v>4.9107142857142856</v>
      </c>
      <c r="L40">
        <v>147</v>
      </c>
      <c r="M40">
        <v>22</v>
      </c>
      <c r="N40">
        <v>231</v>
      </c>
      <c r="O40">
        <f t="shared" si="3"/>
        <v>253</v>
      </c>
      <c r="P40" s="18">
        <f t="shared" si="4"/>
        <v>8.695652173913043</v>
      </c>
      <c r="Q40">
        <v>4</v>
      </c>
      <c r="R40" s="18">
        <f t="shared" si="5"/>
        <v>1.5810276679841897</v>
      </c>
      <c r="S40">
        <v>249</v>
      </c>
      <c r="T40">
        <v>0</v>
      </c>
      <c r="U40">
        <v>0</v>
      </c>
      <c r="V40">
        <v>5</v>
      </c>
      <c r="W40" s="18">
        <f t="shared" si="6"/>
        <v>1.9762845849802371</v>
      </c>
      <c r="X40">
        <v>225</v>
      </c>
      <c r="Y40" s="18">
        <f t="shared" si="7"/>
        <v>88.932806324110672</v>
      </c>
      <c r="Z40">
        <v>4</v>
      </c>
      <c r="AA40" s="18">
        <f t="shared" si="8"/>
        <v>1.5810276679841897</v>
      </c>
      <c r="AB40">
        <v>5</v>
      </c>
      <c r="AC40" s="18">
        <f t="shared" si="9"/>
        <v>1.9762845849802371</v>
      </c>
      <c r="AD40">
        <v>3</v>
      </c>
      <c r="AE40" s="18">
        <f t="shared" si="10"/>
        <v>1.1857707509881423</v>
      </c>
      <c r="AF40">
        <v>6</v>
      </c>
      <c r="AG40" s="18">
        <f t="shared" si="11"/>
        <v>2.3715415019762847</v>
      </c>
      <c r="AH40">
        <v>1</v>
      </c>
      <c r="AI40" s="18">
        <f t="shared" si="12"/>
        <v>0.39525691699604742</v>
      </c>
      <c r="AJ40" t="s">
        <v>33</v>
      </c>
      <c r="AK40">
        <v>1</v>
      </c>
      <c r="AL40" t="s">
        <v>200</v>
      </c>
      <c r="AM40" s="6">
        <f>Дума_партии[[#This Row],[2. Всероссийская политическая партия "ЕДИНАЯ РОССИЯ"]]-((W$75/100)/(1-(W$75/100)))*(Дума_партии[[#This Row],[Число действительных бюллетеней]]-Дума_партии[[#This Row],[2. Всероссийская политическая партия "ЕДИНАЯ РОССИЯ"]])</f>
        <v>198.38844369464363</v>
      </c>
      <c r="AN40" s="6">
        <f>2*(Дума_партии[[#This Row],[2. Всероссийская политическая партия "ЕДИНАЯ РОССИЯ"]]-(W$75/100)*Дума_партии[[#This Row],[Число действительных бюллетеней]])</f>
        <v>188.15160000000003</v>
      </c>
      <c r="AO40" s="6">
        <f>(Дума_партии[[#This Row],[Вброс]]+Дума_партии[[#This Row],[Перекладывание]])/2</f>
        <v>193.27002184732183</v>
      </c>
    </row>
    <row r="41" spans="1:41" x14ac:dyDescent="0.4">
      <c r="B41" s="1">
        <f>SUBTOTAL(103,Дума_партии[УИК])</f>
        <v>39</v>
      </c>
      <c r="D41" s="1">
        <f>SUBTOTAL(109,Дума_партии[Число избирателей, внесенных в список избирателей на момент окончания голосования])</f>
        <v>51552</v>
      </c>
      <c r="F41" s="1">
        <f>SUBTOTAL(109,Дума_партии[Число бюллетеней, полученных участковой избирательной комиссией])</f>
        <v>49830</v>
      </c>
      <c r="G41" s="1">
        <f>SUBTOTAL(109,Дума_партии[Число бюллетеней, выданных избирателям, проголосовавшим досрочно в помещении избирательной комиссии муниципального образования])</f>
        <v>0</v>
      </c>
      <c r="H41" s="1">
        <f>SUBTOTAL(109,Дума_партии[Число избирательных бюллетеней, выданных в помещении для голосования в день голосования])</f>
        <v>10706</v>
      </c>
      <c r="I41" s="1">
        <f>SUBTOTAL(109,Дума_партии[Число бюллетеней, выданных избирателям, проголосовавшим вне помещения для голосования в день голосования])</f>
        <v>1447</v>
      </c>
      <c r="J41" s="1"/>
      <c r="K41" s="1"/>
      <c r="L41" s="1">
        <f>SUBTOTAL(109,Дума_партии[Число погашенных бюллетеней])</f>
        <v>37677</v>
      </c>
      <c r="M41" s="1">
        <f>SUBTOTAL(109,Дума_партии[Число бюллетеней, содержащихся в переносных ящиках для голосования])</f>
        <v>1447</v>
      </c>
      <c r="N41" s="1">
        <f>SUBTOTAL(109,Дума_партии[Число бюллетеней, содержащихся в стационарных ящиках для голосования])</f>
        <v>10704</v>
      </c>
      <c r="O41" s="1">
        <f>SUBTOTAL(109,Дума_партии[Обнаружено])</f>
        <v>12151</v>
      </c>
      <c r="P41" s="1"/>
      <c r="Q41" s="1">
        <f>SUBTOTAL(109,Дума_партии[Число недействительных бюллетеней])</f>
        <v>469</v>
      </c>
      <c r="R41" s="1"/>
      <c r="S41" s="8">
        <f>SUBTOTAL(109,Дума_партии[Число действительных бюллетеней])</f>
        <v>11682</v>
      </c>
      <c r="T41" s="1">
        <f>SUBTOTAL(109,Дума_партии[Число утраченных бюллетеней])</f>
        <v>0</v>
      </c>
      <c r="U41" s="1">
        <f>SUBTOTAL(109,Дума_партии[Число бюллетеней, не учтенных при получении])</f>
        <v>0</v>
      </c>
      <c r="V41" s="1">
        <f>SUBTOTAL(109,Дума_партии[1. Политическая партия КОММУНИСТИЧЕСКАЯ ПАРТИЯ КОММУНИСТЫ РОССИИ])</f>
        <v>926</v>
      </c>
      <c r="W41" s="1"/>
      <c r="X41" s="1">
        <f>SUBTOTAL(109,Дума_партии[2. Всероссийская политическая партия "ЕДИНАЯ РОССИЯ"])</f>
        <v>6564</v>
      </c>
      <c r="Y41" s="1"/>
      <c r="Z41" s="1">
        <f>SUBTOTAL(109,Дума_партии[3. ПАРТИЯ ПЕНСИОНЕРОВ])</f>
        <v>1202</v>
      </c>
      <c r="AA41" s="1"/>
      <c r="AB41" s="1">
        <f>SUBTOTAL(109,Дума_партии[4. Политическая партия ЛДПР – Либерально-демократическая партия России])</f>
        <v>735</v>
      </c>
      <c r="AC41" s="1"/>
      <c r="AD41" s="1">
        <f>SUBTOTAL(109,Дума_партии[5. Политическая партия "НОВЫЕ ЛЮДИ"])</f>
        <v>457</v>
      </c>
      <c r="AE41" s="1"/>
      <c r="AF41" s="1">
        <f>SUBTOTAL(109,Дума_партии[6. Партия СПРАВЕДЛИВАЯ РОССИЯ – ЗА ПРАВДУ])</f>
        <v>1375</v>
      </c>
      <c r="AG41" s="1"/>
      <c r="AH41" s="1">
        <f>SUBTOTAL(109,Дума_партии[7. ВСЕРОССИЙСКАЯ ПОЛИТИЧЕСКАЯ ПАРТИЯ "РОДИНА"])</f>
        <v>423</v>
      </c>
      <c r="AI41" s="1"/>
      <c r="AJ41" s="1">
        <f>SUBTOTAL(102,Дума_партии[КОИБ])</f>
        <v>14</v>
      </c>
      <c r="AK41" s="1">
        <f>SUBTOTAL(102,Дума_партии[Наблюдателей])</f>
        <v>34</v>
      </c>
      <c r="AL41" s="1"/>
      <c r="AM41" s="6">
        <f>SUBTOTAL(109,Дума_партии[Вброс])</f>
        <v>889.08561788275165</v>
      </c>
      <c r="AN41" s="6">
        <f>SUBTOTAL(109,Дума_партии[Перекладывание])</f>
        <v>843.20880000000182</v>
      </c>
      <c r="AO41" s="6">
        <f>SUBTOTAL(109,Дума_партии[Оценка числа бюллетеней, сфальсифицированных в пользу ЕР])</f>
        <v>866.14720894137645</v>
      </c>
    </row>
    <row r="42" spans="1:41" x14ac:dyDescent="0.4">
      <c r="A42" s="3"/>
      <c r="B42" s="3"/>
      <c r="C42" s="3"/>
      <c r="D42" s="3"/>
      <c r="E42" s="3"/>
      <c r="F42" s="3"/>
      <c r="G42" s="3"/>
      <c r="H42" s="3" t="s">
        <v>12</v>
      </c>
      <c r="I42" s="3">
        <f>100*(H41+I41)/D41</f>
        <v>23.574255121042832</v>
      </c>
      <c r="L42" s="3"/>
      <c r="M42" s="3"/>
      <c r="N42" s="3"/>
      <c r="O42" s="3"/>
      <c r="Q42" s="3"/>
      <c r="S42" s="3"/>
      <c r="T42" s="3"/>
      <c r="U42" s="3"/>
      <c r="V42" s="3">
        <f>100*V41/$O41</f>
        <v>7.6207719529256854</v>
      </c>
      <c r="X42" s="30">
        <f>100*X41/$O41</f>
        <v>54.02024524730475</v>
      </c>
      <c r="Z42" s="3">
        <f>100*Z41/$O41</f>
        <v>9.8921899432145501</v>
      </c>
      <c r="AB42" s="3">
        <f>100*AB41/$O41</f>
        <v>6.0488848654431733</v>
      </c>
      <c r="AD42" s="3">
        <f>100*AD41/$O41</f>
        <v>3.7610073245000413</v>
      </c>
      <c r="AF42" s="3">
        <f>100*AF41/$O41</f>
        <v>11.315941074808658</v>
      </c>
      <c r="AH42" s="3">
        <f>100*AH41/$O41</f>
        <v>3.4811949633774999</v>
      </c>
      <c r="AJ42" s="3"/>
      <c r="AM42" s="3">
        <f>AM41*100/Дума_партии[[#Totals],[2. Всероссийская политическая партия "ЕДИНАЯ РОССИЯ"]]</f>
        <v>13.544875348609867</v>
      </c>
      <c r="AN42" s="3">
        <f>AN41*100/Дума_партии[[#Totals],[2. Всероссийская политическая партия "ЕДИНАЯ РОССИЯ"]]</f>
        <v>12.8459597806216</v>
      </c>
      <c r="AO42" s="3">
        <f>AO41*100/Дума_партии[[#Totals],[2. Всероссийская политическая партия "ЕДИНАЯ РОССИЯ"]]</f>
        <v>13.195417564615729</v>
      </c>
    </row>
    <row r="43" spans="1:41" x14ac:dyDescent="0.4">
      <c r="A43" s="3"/>
      <c r="B43" s="3"/>
      <c r="C43" s="3"/>
      <c r="D43" s="3"/>
      <c r="E43" s="3"/>
      <c r="F43" s="3"/>
      <c r="G43" s="3"/>
      <c r="H43" s="3"/>
      <c r="I43" s="3"/>
      <c r="L43" s="3"/>
      <c r="M43" s="3"/>
      <c r="N43" s="3"/>
      <c r="O43" s="3"/>
      <c r="Q43" s="3"/>
      <c r="S43" s="3"/>
      <c r="T43" s="3"/>
      <c r="U43" s="3"/>
      <c r="V43" s="3"/>
      <c r="X43" s="31">
        <f>100*X41/$S41</f>
        <v>56.189008731381612</v>
      </c>
      <c r="Z43" s="3"/>
      <c r="AB43" s="3"/>
      <c r="AD43" s="3"/>
      <c r="AF43" s="3"/>
      <c r="AH43" s="3"/>
      <c r="AJ43" s="3"/>
      <c r="AK43" s="3"/>
      <c r="AL43" s="3"/>
      <c r="AM43" s="3"/>
      <c r="AN43" s="3"/>
    </row>
    <row r="45" spans="1:41" x14ac:dyDescent="0.4">
      <c r="V45" s="29" t="s">
        <v>212</v>
      </c>
    </row>
    <row r="47" spans="1:41" x14ac:dyDescent="0.4">
      <c r="V47" s="1" t="s">
        <v>213</v>
      </c>
    </row>
    <row r="48" spans="1:41" x14ac:dyDescent="0.4">
      <c r="V48" s="1">
        <f>Дума_партии[[#Totals],[1. Политическая партия КОММУНИСТИЧЕСКАЯ ПАРТИЯ КОММУНИСТЫ РОССИИ]]+Дума_партии[[#Totals],[2. Всероссийская политическая партия "ЕДИНАЯ РОССИЯ"]]+Дума_партии[[#Totals],[3. ПАРТИЯ ПЕНСИОНЕРОВ]]+Дума_партии[[#Totals],[4. Политическая партия ЛДПР – Либерально-демократическая партия России]]+Дума_партии[[#Totals],[6. Партия СПРАВЕДЛИВАЯ РОССИЯ – ЗА ПРАВДУ]]</f>
        <v>10802</v>
      </c>
    </row>
    <row r="49" spans="22:36" x14ac:dyDescent="0.4">
      <c r="V49" s="1" t="s">
        <v>206</v>
      </c>
      <c r="Z49" s="1" t="s">
        <v>207</v>
      </c>
    </row>
    <row r="50" spans="22:36" x14ac:dyDescent="0.4">
      <c r="V50" s="1">
        <v>11</v>
      </c>
      <c r="Z50" s="3">
        <f>V48/V50</f>
        <v>982</v>
      </c>
    </row>
    <row r="52" spans="22:36" x14ac:dyDescent="0.4">
      <c r="V52" s="1" t="s">
        <v>208</v>
      </c>
    </row>
    <row r="53" spans="22:36" x14ac:dyDescent="0.4">
      <c r="V53" s="28">
        <f>Дума_партии[[#Totals],[1. Политическая партия КОММУНИСТИЧЕСКАЯ ПАРТИЯ КОММУНИСТЫ РОССИИ]]/Z50</f>
        <v>0.94297352342158858</v>
      </c>
      <c r="W53" s="28"/>
      <c r="X53" s="28">
        <f>Дума_партии[[#Totals],[2. Всероссийская политическая партия "ЕДИНАЯ РОССИЯ"]]/Z50</f>
        <v>6.6843177189409371</v>
      </c>
      <c r="Y53" s="28"/>
      <c r="Z53" s="28">
        <f>Дума_партии[[#Totals],[3. ПАРТИЯ ПЕНСИОНЕРОВ]]/Z50</f>
        <v>1.2240325865580448</v>
      </c>
      <c r="AA53" s="28"/>
      <c r="AB53" s="28">
        <f>Дума_партии[[#Totals],[4. Политическая партия ЛДПР – Либерально-демократическая партия России]]/Z50</f>
        <v>0.74847250509164964</v>
      </c>
      <c r="AC53" s="28"/>
      <c r="AD53" s="28"/>
      <c r="AE53" s="28"/>
      <c r="AF53" s="28">
        <f>Дума_партии[[#Totals],[6. Партия СПРАВЕДЛИВАЯ РОССИЯ – ЗА ПРАВДУ]]/Z50</f>
        <v>1.4002036659877801</v>
      </c>
      <c r="AG53" s="28"/>
      <c r="AH53" s="28"/>
    </row>
    <row r="54" spans="22:36" x14ac:dyDescent="0.4">
      <c r="V54" s="1" t="s">
        <v>209</v>
      </c>
      <c r="AJ54" s="1" t="s">
        <v>210</v>
      </c>
    </row>
    <row r="55" spans="22:36" x14ac:dyDescent="0.4">
      <c r="V55" s="1">
        <f>INT(V53)</f>
        <v>0</v>
      </c>
      <c r="W55" s="1"/>
      <c r="X55" s="1">
        <f t="shared" ref="X55:AF55" si="13">INT(X53)</f>
        <v>6</v>
      </c>
      <c r="Y55" s="1"/>
      <c r="Z55" s="1">
        <f t="shared" si="13"/>
        <v>1</v>
      </c>
      <c r="AA55" s="1"/>
      <c r="AB55" s="1">
        <f t="shared" si="13"/>
        <v>0</v>
      </c>
      <c r="AC55" s="1"/>
      <c r="AE55" s="1"/>
      <c r="AF55" s="1">
        <f t="shared" si="13"/>
        <v>1</v>
      </c>
      <c r="AG55" s="1"/>
      <c r="AJ55" s="1">
        <f>SUM(V55:AH55)</f>
        <v>8</v>
      </c>
    </row>
    <row r="56" spans="22:36" x14ac:dyDescent="0.4">
      <c r="V56" s="1" t="s">
        <v>211</v>
      </c>
    </row>
    <row r="57" spans="22:36" x14ac:dyDescent="0.4">
      <c r="V57" s="1">
        <f>IF(V55=0,1,0)</f>
        <v>1</v>
      </c>
      <c r="W57" s="1"/>
      <c r="X57" s="1">
        <f t="shared" ref="X57:AF57" si="14">IF(X55=0,1,0)</f>
        <v>0</v>
      </c>
      <c r="Y57" s="1"/>
      <c r="Z57" s="1">
        <f t="shared" si="14"/>
        <v>0</v>
      </c>
      <c r="AA57" s="1"/>
      <c r="AB57" s="1">
        <f t="shared" si="14"/>
        <v>1</v>
      </c>
      <c r="AC57" s="1"/>
      <c r="AE57" s="1"/>
      <c r="AF57" s="1">
        <f t="shared" si="14"/>
        <v>0</v>
      </c>
      <c r="AG57" s="1"/>
    </row>
    <row r="58" spans="22:36" x14ac:dyDescent="0.4">
      <c r="V58" s="1" t="s">
        <v>210</v>
      </c>
      <c r="AJ58" s="1" t="s">
        <v>210</v>
      </c>
    </row>
    <row r="59" spans="22:36" x14ac:dyDescent="0.4">
      <c r="V59" s="1">
        <f>SUM(V55:V57)</f>
        <v>1</v>
      </c>
      <c r="W59" s="1"/>
      <c r="X59" s="1">
        <f t="shared" ref="X59:AF59" si="15">SUM(X55:X57)</f>
        <v>6</v>
      </c>
      <c r="Y59" s="1"/>
      <c r="Z59" s="1">
        <f t="shared" si="15"/>
        <v>1</v>
      </c>
      <c r="AA59" s="1"/>
      <c r="AB59" s="1">
        <f t="shared" si="15"/>
        <v>1</v>
      </c>
      <c r="AC59" s="1"/>
      <c r="AE59" s="1"/>
      <c r="AF59" s="1">
        <f t="shared" si="15"/>
        <v>1</v>
      </c>
      <c r="AG59" s="1"/>
      <c r="AJ59" s="1">
        <f>SUM(V59:AH59)</f>
        <v>10</v>
      </c>
    </row>
    <row r="60" spans="22:36" x14ac:dyDescent="0.4">
      <c r="V60" s="1" t="s">
        <v>214</v>
      </c>
    </row>
    <row r="61" spans="22:36" x14ac:dyDescent="0.4">
      <c r="X61" s="1">
        <v>1</v>
      </c>
    </row>
    <row r="62" spans="22:36" x14ac:dyDescent="0.4">
      <c r="V62" s="3" t="s">
        <v>210</v>
      </c>
      <c r="W62" s="9"/>
      <c r="AJ62" s="1" t="s">
        <v>210</v>
      </c>
    </row>
    <row r="63" spans="22:36" x14ac:dyDescent="0.4">
      <c r="V63" s="6">
        <f>SUM(V59:V61)</f>
        <v>1</v>
      </c>
      <c r="W63" s="6"/>
      <c r="X63" s="6">
        <f t="shared" ref="X63:AF63" si="16">SUM(X59:X61)</f>
        <v>7</v>
      </c>
      <c r="Y63" s="6"/>
      <c r="Z63" s="6">
        <f t="shared" si="16"/>
        <v>1</v>
      </c>
      <c r="AA63" s="6"/>
      <c r="AB63" s="6">
        <f t="shared" si="16"/>
        <v>1</v>
      </c>
      <c r="AC63" s="6"/>
      <c r="AD63" s="6"/>
      <c r="AE63" s="6"/>
      <c r="AF63" s="6">
        <f t="shared" si="16"/>
        <v>1</v>
      </c>
      <c r="AG63" s="6"/>
      <c r="AH63" s="6"/>
      <c r="AI63" s="6"/>
      <c r="AJ63" s="6">
        <f>SUM(V63:AH63)</f>
        <v>11</v>
      </c>
    </row>
    <row r="64" spans="22:36" x14ac:dyDescent="0.4">
      <c r="V64" s="3"/>
      <c r="W64" s="1"/>
    </row>
    <row r="65" spans="22:23" x14ac:dyDescent="0.4">
      <c r="V65" s="3"/>
      <c r="W65" s="1"/>
    </row>
    <row r="66" spans="22:23" x14ac:dyDescent="0.4">
      <c r="V66" s="3"/>
      <c r="W66" s="1"/>
    </row>
    <row r="67" spans="22:23" x14ac:dyDescent="0.4">
      <c r="V67" s="3"/>
      <c r="W67" s="1"/>
    </row>
    <row r="68" spans="22:23" x14ac:dyDescent="0.4">
      <c r="V68" s="3"/>
      <c r="W68" s="1"/>
    </row>
    <row r="69" spans="22:23" x14ac:dyDescent="0.4">
      <c r="V69" s="3"/>
      <c r="W69" s="1"/>
    </row>
    <row r="70" spans="22:23" x14ac:dyDescent="0.4">
      <c r="V70" s="3"/>
      <c r="W70" s="1"/>
    </row>
    <row r="71" spans="22:23" x14ac:dyDescent="0.4">
      <c r="V71" s="3"/>
      <c r="W71" s="1"/>
    </row>
    <row r="72" spans="22:23" x14ac:dyDescent="0.4">
      <c r="V72" s="3"/>
      <c r="W72" s="1"/>
    </row>
    <row r="73" spans="22:23" x14ac:dyDescent="0.4">
      <c r="V73" s="3"/>
      <c r="W73" s="1"/>
    </row>
    <row r="74" spans="22:23" x14ac:dyDescent="0.4">
      <c r="V74" s="1" t="s">
        <v>31</v>
      </c>
      <c r="W74" s="1"/>
    </row>
    <row r="75" spans="22:23" x14ac:dyDescent="0.4">
      <c r="V75" s="30">
        <v>50.53</v>
      </c>
      <c r="W75" s="32">
        <v>52.58</v>
      </c>
    </row>
    <row r="76" spans="22:23" x14ac:dyDescent="0.4">
      <c r="V76" s="3"/>
      <c r="W76" s="1"/>
    </row>
    <row r="77" spans="22:23" x14ac:dyDescent="0.4">
      <c r="V77" s="3"/>
      <c r="W77" s="1"/>
    </row>
    <row r="78" spans="22:23" x14ac:dyDescent="0.4">
      <c r="V78" s="1" t="s">
        <v>30</v>
      </c>
      <c r="W78" s="1"/>
    </row>
    <row r="79" spans="22:23" x14ac:dyDescent="0.4">
      <c r="V79" s="1">
        <f>MAX($E2:$E40)*2</f>
        <v>5646</v>
      </c>
      <c r="W79" s="1"/>
    </row>
    <row r="99" spans="12:12" x14ac:dyDescent="0.4">
      <c r="L99" s="1" t="s">
        <v>30</v>
      </c>
    </row>
    <row r="100" spans="12:12" x14ac:dyDescent="0.4">
      <c r="L100" s="1">
        <v>400</v>
      </c>
    </row>
  </sheetData>
  <phoneticPr fontId="3" type="noConversion"/>
  <pageMargins left="0.7" right="0.7" top="0.75" bottom="0.75" header="0.3" footer="0.3"/>
  <pageSetup paperSize="9" orientation="portrait" horizontalDpi="4294967295" verticalDpi="4294967295" r:id="rId1"/>
  <ignoredErrors>
    <ignoredError sqref="B2 B3:B40" calculatedColumn="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B3619-7FA9-415E-9DD0-457E14C23893}">
  <dimension ref="A1:AL44"/>
  <sheetViews>
    <sheetView zoomScale="70" zoomScaleNormal="70" workbookViewId="0">
      <pane ySplit="1" topLeftCell="A2" activePane="bottomLeft" state="frozen"/>
      <selection pane="bottomLeft" activeCell="V12" sqref="V12"/>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33" width="6.23046875" style="3" customWidth="1"/>
    <col min="34" max="34" width="6.23046875" style="1" customWidth="1"/>
    <col min="35" max="35" width="6.23046875" style="3" customWidth="1"/>
    <col min="36" max="36" width="6.23046875" style="1" customWidth="1"/>
    <col min="37" max="37" width="6.53515625" style="6" customWidth="1"/>
    <col min="38" max="38" width="19.3828125" style="1" customWidth="1"/>
    <col min="39" max="16384" width="9.23046875" style="1"/>
  </cols>
  <sheetData>
    <row r="1" spans="1:38"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7" t="s">
        <v>174</v>
      </c>
      <c r="W1" t="s">
        <v>183</v>
      </c>
      <c r="X1" s="17" t="s">
        <v>175</v>
      </c>
      <c r="Y1" s="14" t="s">
        <v>176</v>
      </c>
      <c r="Z1" s="11" t="s">
        <v>177</v>
      </c>
      <c r="AA1" s="14" t="s">
        <v>184</v>
      </c>
      <c r="AB1" s="11" t="s">
        <v>178</v>
      </c>
      <c r="AC1" s="14" t="s">
        <v>185</v>
      </c>
      <c r="AD1" s="17" t="s">
        <v>179</v>
      </c>
      <c r="AE1" t="s">
        <v>186</v>
      </c>
      <c r="AF1" s="11" t="s">
        <v>180</v>
      </c>
      <c r="AG1" t="s">
        <v>181</v>
      </c>
      <c r="AH1" s="17" t="s">
        <v>182</v>
      </c>
      <c r="AI1" t="s">
        <v>187</v>
      </c>
      <c r="AJ1" s="15" t="s">
        <v>32</v>
      </c>
      <c r="AK1" s="25" t="s">
        <v>23</v>
      </c>
      <c r="AL1" s="25" t="s">
        <v>205</v>
      </c>
    </row>
    <row r="2" spans="1:38" x14ac:dyDescent="0.4">
      <c r="A2">
        <v>9</v>
      </c>
      <c r="B2" s="4">
        <v>2712</v>
      </c>
      <c r="C2" t="s">
        <v>52</v>
      </c>
      <c r="D2">
        <v>1150</v>
      </c>
      <c r="E2" s="1">
        <f t="shared" ref="E2" si="0">D2</f>
        <v>1150</v>
      </c>
      <c r="F2">
        <v>1100</v>
      </c>
      <c r="G2">
        <v>0</v>
      </c>
      <c r="H2">
        <v>251</v>
      </c>
      <c r="I2">
        <v>3</v>
      </c>
      <c r="J2" s="3">
        <f t="shared" ref="J2" si="1">100*(H2+I2)/D2</f>
        <v>22.086956521739129</v>
      </c>
      <c r="K2" s="3">
        <f t="shared" ref="K2" si="2">100*I2/D2</f>
        <v>0.2608695652173913</v>
      </c>
      <c r="L2">
        <v>846</v>
      </c>
      <c r="M2">
        <v>3</v>
      </c>
      <c r="N2">
        <v>251</v>
      </c>
      <c r="O2" s="1">
        <f t="shared" ref="O2" si="3">M2+N2</f>
        <v>254</v>
      </c>
      <c r="P2" s="3">
        <f t="shared" ref="P2" si="4">100*M2/O2</f>
        <v>1.1811023622047243</v>
      </c>
      <c r="Q2">
        <v>8</v>
      </c>
      <c r="R2" s="3">
        <f t="shared" ref="R2" si="5">100*Q2/O2</f>
        <v>3.1496062992125986</v>
      </c>
      <c r="S2">
        <v>246</v>
      </c>
      <c r="T2">
        <v>0</v>
      </c>
      <c r="U2">
        <v>0</v>
      </c>
      <c r="V2">
        <v>7</v>
      </c>
      <c r="W2" s="3">
        <f t="shared" ref="W2" si="6">100*V2/$O2</f>
        <v>2.7559055118110236</v>
      </c>
      <c r="X2">
        <v>4</v>
      </c>
      <c r="Y2" s="3">
        <f t="shared" ref="Y2" si="7">100*X2/$O2</f>
        <v>1.5748031496062993</v>
      </c>
      <c r="Z2">
        <v>6</v>
      </c>
      <c r="AA2" s="3">
        <f t="shared" ref="AA2" si="8">100*Z2/$O2</f>
        <v>2.3622047244094486</v>
      </c>
      <c r="AB2">
        <v>183</v>
      </c>
      <c r="AC2" s="3">
        <f t="shared" ref="AC2" si="9">100*AB2/$O2</f>
        <v>72.047244094488192</v>
      </c>
      <c r="AD2">
        <v>5</v>
      </c>
      <c r="AE2" s="3">
        <f t="shared" ref="AE2" si="10">100*AD2/$O2</f>
        <v>1.9685039370078741</v>
      </c>
      <c r="AF2">
        <v>8</v>
      </c>
      <c r="AG2" s="3">
        <f t="shared" ref="AG2" si="11">100*AF2/$O2</f>
        <v>3.1496062992125986</v>
      </c>
      <c r="AH2">
        <v>33</v>
      </c>
      <c r="AI2" s="3">
        <f t="shared" ref="AI2" si="12">100*AH2/$O2</f>
        <v>12.992125984251969</v>
      </c>
      <c r="AJ2" t="s">
        <v>33</v>
      </c>
      <c r="AK2">
        <v>1</v>
      </c>
      <c r="AL2" t="s">
        <v>200</v>
      </c>
    </row>
    <row r="3" spans="1:38" x14ac:dyDescent="0.4">
      <c r="A3">
        <v>9</v>
      </c>
      <c r="B3" s="4">
        <v>2713</v>
      </c>
      <c r="C3" t="s">
        <v>53</v>
      </c>
      <c r="D3">
        <v>2823</v>
      </c>
      <c r="E3">
        <f>D3</f>
        <v>2823</v>
      </c>
      <c r="F3">
        <v>2700</v>
      </c>
      <c r="G3">
        <v>0</v>
      </c>
      <c r="H3">
        <v>564</v>
      </c>
      <c r="I3">
        <v>15</v>
      </c>
      <c r="J3" s="18">
        <f>100*(H3+I3)/D3</f>
        <v>20.510095642933049</v>
      </c>
      <c r="K3" s="18">
        <f>100*I3/D3</f>
        <v>0.53134962805526031</v>
      </c>
      <c r="L3">
        <v>2121</v>
      </c>
      <c r="M3">
        <v>15</v>
      </c>
      <c r="N3">
        <v>564</v>
      </c>
      <c r="O3">
        <f>M3+N3</f>
        <v>579</v>
      </c>
      <c r="P3" s="18">
        <f>100*M3/O3</f>
        <v>2.5906735751295336</v>
      </c>
      <c r="Q3">
        <v>25</v>
      </c>
      <c r="R3" s="18">
        <f>100*Q3/O3</f>
        <v>4.3177892918825558</v>
      </c>
      <c r="S3">
        <v>554</v>
      </c>
      <c r="T3">
        <v>0</v>
      </c>
      <c r="U3">
        <v>0</v>
      </c>
      <c r="V3">
        <v>13</v>
      </c>
      <c r="W3" s="18">
        <f>100*V3/$O3</f>
        <v>2.245250431778929</v>
      </c>
      <c r="X3">
        <v>14</v>
      </c>
      <c r="Y3" s="18">
        <f>100*X3/$O3</f>
        <v>2.4179620034542313</v>
      </c>
      <c r="Z3">
        <v>20</v>
      </c>
      <c r="AA3" s="18">
        <f>100*Z3/$O3</f>
        <v>3.4542314335060449</v>
      </c>
      <c r="AB3">
        <v>409</v>
      </c>
      <c r="AC3" s="18">
        <f>100*AB3/$O3</f>
        <v>70.639032815198618</v>
      </c>
      <c r="AD3" s="18">
        <v>22</v>
      </c>
      <c r="AE3" s="18">
        <f>100*AD3/$O3</f>
        <v>3.7996545768566494</v>
      </c>
      <c r="AF3" s="18">
        <v>43</v>
      </c>
      <c r="AG3" s="18">
        <f>100*AF3/$O3</f>
        <v>7.4265975820379966</v>
      </c>
      <c r="AH3">
        <v>33</v>
      </c>
      <c r="AI3" s="18">
        <f>100*AH3/$O3</f>
        <v>5.6994818652849739</v>
      </c>
      <c r="AJ3" t="s">
        <v>33</v>
      </c>
      <c r="AK3">
        <v>1</v>
      </c>
      <c r="AL3" t="s">
        <v>200</v>
      </c>
    </row>
    <row r="4" spans="1:38" s="3" customFormat="1" x14ac:dyDescent="0.4">
      <c r="A4">
        <v>9</v>
      </c>
      <c r="B4" s="4">
        <v>2714</v>
      </c>
      <c r="C4" t="s">
        <v>54</v>
      </c>
      <c r="D4">
        <v>855</v>
      </c>
      <c r="E4">
        <f t="shared" ref="E4:E5" si="13">D4</f>
        <v>855</v>
      </c>
      <c r="F4">
        <v>800</v>
      </c>
      <c r="G4">
        <v>0</v>
      </c>
      <c r="H4">
        <v>136</v>
      </c>
      <c r="I4">
        <v>33</v>
      </c>
      <c r="J4" s="18">
        <f t="shared" ref="J4:J5" si="14">100*(H4+I4)/D4</f>
        <v>19.76608187134503</v>
      </c>
      <c r="K4" s="18">
        <f t="shared" ref="K4:K5" si="15">100*I4/D4</f>
        <v>3.8596491228070176</v>
      </c>
      <c r="L4">
        <v>631</v>
      </c>
      <c r="M4">
        <v>33</v>
      </c>
      <c r="N4">
        <v>136</v>
      </c>
      <c r="O4">
        <f>M4+N4</f>
        <v>169</v>
      </c>
      <c r="P4" s="18">
        <f t="shared" ref="P4:P5" si="16">100*M4/O4</f>
        <v>19.526627218934912</v>
      </c>
      <c r="Q4">
        <v>2</v>
      </c>
      <c r="R4" s="18">
        <f t="shared" ref="R4:R5" si="17">100*Q4/O4</f>
        <v>1.1834319526627219</v>
      </c>
      <c r="S4">
        <v>167</v>
      </c>
      <c r="T4">
        <v>0</v>
      </c>
      <c r="U4">
        <v>0</v>
      </c>
      <c r="V4">
        <v>3</v>
      </c>
      <c r="W4" s="18">
        <f t="shared" ref="W4:W5" si="18">100*V4/$O4</f>
        <v>1.7751479289940828</v>
      </c>
      <c r="X4">
        <v>3</v>
      </c>
      <c r="Y4" s="18">
        <f t="shared" ref="Y4:Y5" si="19">100*X4/$O4</f>
        <v>1.7751479289940828</v>
      </c>
      <c r="Z4">
        <v>6</v>
      </c>
      <c r="AA4" s="18">
        <f t="shared" ref="AA4:AA5" si="20">100*Z4/$O4</f>
        <v>3.5502958579881656</v>
      </c>
      <c r="AB4">
        <v>123</v>
      </c>
      <c r="AC4" s="18">
        <f t="shared" ref="AC4:AC5" si="21">100*AB4/$O4</f>
        <v>72.781065088757401</v>
      </c>
      <c r="AD4">
        <v>9</v>
      </c>
      <c r="AE4" s="18">
        <f t="shared" ref="AE4:AE5" si="22">100*AD4/$O4</f>
        <v>5.3254437869822482</v>
      </c>
      <c r="AF4">
        <v>3</v>
      </c>
      <c r="AG4" s="18">
        <f t="shared" ref="AG4:AG5" si="23">100*AF4/$O4</f>
        <v>1.7751479289940828</v>
      </c>
      <c r="AH4">
        <v>20</v>
      </c>
      <c r="AI4" s="18">
        <f t="shared" ref="AI4:AI5" si="24">100*AH4/$O4</f>
        <v>11.834319526627219</v>
      </c>
      <c r="AJ4" t="s">
        <v>33</v>
      </c>
      <c r="AK4">
        <v>1</v>
      </c>
      <c r="AL4" t="s">
        <v>200</v>
      </c>
    </row>
    <row r="5" spans="1:38" x14ac:dyDescent="0.4">
      <c r="A5">
        <v>9</v>
      </c>
      <c r="B5" s="4">
        <v>2715</v>
      </c>
      <c r="C5" t="s">
        <v>54</v>
      </c>
      <c r="D5">
        <v>772</v>
      </c>
      <c r="E5">
        <f t="shared" si="13"/>
        <v>772</v>
      </c>
      <c r="F5">
        <v>800</v>
      </c>
      <c r="G5">
        <v>0</v>
      </c>
      <c r="H5">
        <v>123</v>
      </c>
      <c r="I5">
        <v>51</v>
      </c>
      <c r="J5" s="18">
        <f t="shared" si="14"/>
        <v>22.538860103626941</v>
      </c>
      <c r="K5" s="18">
        <f t="shared" si="15"/>
        <v>6.6062176165803113</v>
      </c>
      <c r="L5">
        <v>626</v>
      </c>
      <c r="M5">
        <v>51</v>
      </c>
      <c r="N5">
        <v>123</v>
      </c>
      <c r="O5">
        <f t="shared" ref="O5" si="25">M5+N5</f>
        <v>174</v>
      </c>
      <c r="P5" s="18">
        <f t="shared" si="16"/>
        <v>29.310344827586206</v>
      </c>
      <c r="Q5">
        <v>7</v>
      </c>
      <c r="R5" s="18">
        <f t="shared" si="17"/>
        <v>4.0229885057471266</v>
      </c>
      <c r="S5">
        <v>167</v>
      </c>
      <c r="T5">
        <v>0</v>
      </c>
      <c r="U5">
        <v>0</v>
      </c>
      <c r="V5">
        <v>8</v>
      </c>
      <c r="W5" s="18">
        <f t="shared" si="18"/>
        <v>4.5977011494252871</v>
      </c>
      <c r="X5">
        <v>9</v>
      </c>
      <c r="Y5" s="18">
        <f t="shared" si="19"/>
        <v>5.1724137931034484</v>
      </c>
      <c r="Z5">
        <v>7</v>
      </c>
      <c r="AA5" s="18">
        <f t="shared" si="20"/>
        <v>4.0229885057471266</v>
      </c>
      <c r="AB5">
        <v>97</v>
      </c>
      <c r="AC5" s="18">
        <f t="shared" si="21"/>
        <v>55.747126436781606</v>
      </c>
      <c r="AD5">
        <v>7</v>
      </c>
      <c r="AE5" s="18">
        <f t="shared" si="22"/>
        <v>4.0229885057471266</v>
      </c>
      <c r="AF5">
        <v>10</v>
      </c>
      <c r="AG5" s="18">
        <f t="shared" si="23"/>
        <v>5.7471264367816088</v>
      </c>
      <c r="AH5">
        <v>29</v>
      </c>
      <c r="AI5" s="18">
        <f t="shared" si="24"/>
        <v>16.666666666666668</v>
      </c>
      <c r="AJ5" t="s">
        <v>33</v>
      </c>
      <c r="AK5">
        <v>2</v>
      </c>
      <c r="AL5" t="s">
        <v>203</v>
      </c>
    </row>
    <row r="6" spans="1:38" x14ac:dyDescent="0.4">
      <c r="B6" s="1">
        <f>SUBTOTAL(103,Дума_партии3412[УИК])</f>
        <v>4</v>
      </c>
      <c r="D6" s="1">
        <f>SUBTOTAL(109,Дума_партии3412[Число избирателей, внесенных в список на момент окончания голосования])</f>
        <v>5600</v>
      </c>
      <c r="F6" s="1">
        <f>SUBTOTAL(109,Дума_партии3412[Число бюллетеней, полученных участковой избирательной комиссией])</f>
        <v>5400</v>
      </c>
      <c r="G6" s="1">
        <f>SUBTOTAL(109,Дума_партии3412[Число бюллетеней, выданных избирателям, проголосовавшим досрочно в помещении территориальной избирательной комиссии])</f>
        <v>0</v>
      </c>
      <c r="H6" s="1">
        <f>SUBTOTAL(109,Дума_партии3412[Число бюллетеней, выданных избирателям, в помещении для голосования в день голосования])</f>
        <v>1074</v>
      </c>
      <c r="I6" s="1">
        <f>SUBTOTAL(109,Дума_партии3412[Число бюллетеней, выданных избирателям, проголосовавшим вне помещения для голосования в день голосования])</f>
        <v>102</v>
      </c>
      <c r="J6" s="1"/>
      <c r="K6" s="1"/>
      <c r="L6" s="1">
        <f>SUBTOTAL(109,Дума_партии3412[Число погашенных бюллетеней])</f>
        <v>4224</v>
      </c>
      <c r="M6" s="1">
        <f>SUBTOTAL(109,Дума_партии3412[Число бюллетеней, содержащихся в переносных ящиках для голосования])</f>
        <v>102</v>
      </c>
      <c r="N6" s="1">
        <f>SUBTOTAL(109,Дума_партии3412[Число бюллетеней, содержащихся в стационарных ящиках для голосования])</f>
        <v>1074</v>
      </c>
      <c r="O6" s="1">
        <f>SUBTOTAL(109,Дума_партии3412[Обнаружено])</f>
        <v>1176</v>
      </c>
      <c r="P6" s="1"/>
      <c r="Q6" s="1">
        <f>SUBTOTAL(109,Дума_партии3412[Число недействительных бюллетеней])</f>
        <v>42</v>
      </c>
      <c r="R6" s="1"/>
      <c r="S6" s="8">
        <f>SUBTOTAL(109,Дума_партии3412[Число действительных бюллетеней])</f>
        <v>1134</v>
      </c>
      <c r="T6" s="1">
        <f>SUBTOTAL(109,Дума_партии3412[Число утраченных бюллетеней])</f>
        <v>0</v>
      </c>
      <c r="U6" s="1">
        <f>SUBTOTAL(109,Дума_партии3412[Число бюллетеней, не учтенных при получении])</f>
        <v>0</v>
      </c>
      <c r="V6" s="1">
        <f>SUBTOTAL(109,Дума_партии3412[Быковская Ольга Сергеевна])</f>
        <v>31</v>
      </c>
      <c r="W6" s="1"/>
      <c r="X6" s="1">
        <f>SUBTOTAL(109,Дума_партии3412[Егорова Олеся Владимировна])</f>
        <v>30</v>
      </c>
      <c r="Y6" s="1"/>
      <c r="Z6" s="1">
        <f>SUBTOTAL(109,Дума_партии3412[Клюева Светлана Леонардовна])</f>
        <v>39</v>
      </c>
      <c r="AA6" s="1"/>
      <c r="AB6" s="1">
        <f>SUBTOTAL(109,Дума_партии3412[Кучарина Марина Николаевна])</f>
        <v>812</v>
      </c>
      <c r="AC6" s="1"/>
      <c r="AD6" s="1">
        <f>SUBTOTAL(109,Дума_партии3412[Милютина Татьяна Игоревна])</f>
        <v>43</v>
      </c>
      <c r="AE6" s="1"/>
      <c r="AF6" s="1">
        <f>SUBTOTAL(109,Дума_партии3412[Рогова Ирина Олеговна])</f>
        <v>64</v>
      </c>
      <c r="AG6" s="1"/>
      <c r="AH6" s="1">
        <f>SUBTOTAL(109,Дума_партии3412[Сиваков Артур Викторович])</f>
        <v>115</v>
      </c>
      <c r="AI6" s="1"/>
      <c r="AJ6" s="1">
        <f>SUBTOTAL(102,Дума_партии3412[КОИБ])</f>
        <v>0</v>
      </c>
      <c r="AK6" s="1">
        <f>SUBTOTAL(102,Дума_партии3412[Наблюдателей])</f>
        <v>4</v>
      </c>
    </row>
    <row r="7" spans="1:38" x14ac:dyDescent="0.4">
      <c r="A7" s="3"/>
      <c r="B7" s="3"/>
      <c r="C7" s="3"/>
      <c r="D7" s="3"/>
      <c r="E7" s="3"/>
      <c r="F7" s="3"/>
      <c r="G7" s="3"/>
      <c r="H7" s="3" t="s">
        <v>12</v>
      </c>
      <c r="I7" s="3">
        <f>100*(H6+I6)/D6</f>
        <v>21</v>
      </c>
      <c r="L7" s="3"/>
      <c r="M7" s="3"/>
      <c r="N7" s="3"/>
      <c r="O7" s="3"/>
      <c r="Q7" s="3"/>
      <c r="S7" s="3"/>
      <c r="T7" s="3"/>
      <c r="U7" s="3"/>
      <c r="V7" s="3">
        <f>100*V6/$O6</f>
        <v>2.6360544217687076</v>
      </c>
      <c r="X7" s="3">
        <f>100*X6/$O6</f>
        <v>2.5510204081632653</v>
      </c>
      <c r="Z7" s="3">
        <f>100*Z6/$O6</f>
        <v>3.3163265306122449</v>
      </c>
      <c r="AB7" s="3">
        <f>100*AB6/$O6</f>
        <v>69.047619047619051</v>
      </c>
      <c r="AD7" s="3">
        <f>100*AD6/$O6</f>
        <v>3.6564625850340136</v>
      </c>
      <c r="AF7" s="3">
        <f>100*AF6/$O6</f>
        <v>5.4421768707482991</v>
      </c>
      <c r="AH7" s="3">
        <f>100*AH6/$O6</f>
        <v>9.7789115646258509</v>
      </c>
      <c r="AJ7" s="3"/>
    </row>
    <row r="8" spans="1:38" x14ac:dyDescent="0.4">
      <c r="A8" s="3"/>
      <c r="B8" s="3"/>
      <c r="C8" s="3"/>
      <c r="D8" s="3"/>
      <c r="E8" s="3"/>
      <c r="F8" s="3"/>
      <c r="G8" s="3"/>
      <c r="H8" s="3"/>
      <c r="I8" s="3"/>
      <c r="L8" s="3"/>
      <c r="M8" s="3"/>
      <c r="N8" s="3"/>
      <c r="O8" s="3"/>
      <c r="Q8" s="3"/>
      <c r="S8" s="3"/>
      <c r="T8" s="3"/>
      <c r="U8" s="3"/>
      <c r="V8" s="3"/>
      <c r="X8" s="3"/>
      <c r="Z8" s="3"/>
      <c r="AB8" s="3"/>
      <c r="AH8" s="3"/>
      <c r="AJ8" s="3"/>
      <c r="AK8" s="3"/>
    </row>
    <row r="24" spans="22:25" x14ac:dyDescent="0.4">
      <c r="W24" s="1"/>
    </row>
    <row r="25" spans="22:25" x14ac:dyDescent="0.4">
      <c r="V25" s="3"/>
      <c r="W25" s="9"/>
    </row>
    <row r="26" spans="22:25" x14ac:dyDescent="0.4">
      <c r="W26" s="5"/>
      <c r="Y26" s="5"/>
    </row>
    <row r="27" spans="22:25" x14ac:dyDescent="0.4">
      <c r="V27" s="3"/>
      <c r="W27" s="9"/>
    </row>
    <row r="28" spans="22:25" x14ac:dyDescent="0.4">
      <c r="V28" s="3"/>
      <c r="W28" s="1"/>
    </row>
    <row r="29" spans="22:25" x14ac:dyDescent="0.4">
      <c r="V29" s="3"/>
      <c r="W29" s="1"/>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3"/>
      <c r="W41" s="1"/>
    </row>
    <row r="42" spans="22:23" x14ac:dyDescent="0.4">
      <c r="V42" s="3"/>
      <c r="W42" s="1"/>
    </row>
    <row r="43" spans="22:23" x14ac:dyDescent="0.4">
      <c r="V43" s="1" t="s">
        <v>83</v>
      </c>
      <c r="W43" s="1"/>
    </row>
    <row r="44" spans="22:23" x14ac:dyDescent="0.4">
      <c r="V44" s="1">
        <f>MAX(Дума_партии[Вес участка])*2</f>
        <v>5646</v>
      </c>
      <c r="W44" s="1"/>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D369-22B4-4E4D-871B-2060777A1DBC}">
  <dimension ref="A1:AJ46"/>
  <sheetViews>
    <sheetView zoomScale="70" zoomScaleNormal="70" workbookViewId="0">
      <pane ySplit="1" topLeftCell="A2" activePane="bottomLeft" state="frozen"/>
      <selection pane="bottomLeft" activeCell="W13" sqref="W13"/>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33" width="6.23046875" style="3" customWidth="1"/>
    <col min="34" max="34" width="6.23046875" style="1" customWidth="1"/>
    <col min="35" max="35" width="6.53515625" style="6" customWidth="1"/>
    <col min="36" max="36" width="19.3828125" style="1" customWidth="1"/>
    <col min="37" max="16384" width="9.23046875" style="1"/>
  </cols>
  <sheetData>
    <row r="1" spans="1:36"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7" t="s">
        <v>188</v>
      </c>
      <c r="W1" t="s">
        <v>195</v>
      </c>
      <c r="X1" s="17" t="s">
        <v>189</v>
      </c>
      <c r="Y1" s="14" t="s">
        <v>190</v>
      </c>
      <c r="Z1" s="11" t="s">
        <v>191</v>
      </c>
      <c r="AA1" t="s">
        <v>196</v>
      </c>
      <c r="AB1" s="11" t="s">
        <v>192</v>
      </c>
      <c r="AC1" t="s">
        <v>197</v>
      </c>
      <c r="AD1" s="17" t="s">
        <v>193</v>
      </c>
      <c r="AE1" t="s">
        <v>198</v>
      </c>
      <c r="AF1" s="11" t="s">
        <v>194</v>
      </c>
      <c r="AG1" t="s">
        <v>199</v>
      </c>
      <c r="AH1" s="15" t="s">
        <v>32</v>
      </c>
      <c r="AI1" s="25" t="s">
        <v>23</v>
      </c>
      <c r="AJ1" s="25" t="s">
        <v>205</v>
      </c>
    </row>
    <row r="2" spans="1:36" x14ac:dyDescent="0.4">
      <c r="A2">
        <v>10</v>
      </c>
      <c r="B2" s="4">
        <v>2706</v>
      </c>
      <c r="C2" t="s">
        <v>55</v>
      </c>
      <c r="D2">
        <v>411</v>
      </c>
      <c r="E2" s="1">
        <f t="shared" ref="E2:E4" si="0">D2</f>
        <v>411</v>
      </c>
      <c r="F2">
        <v>400</v>
      </c>
      <c r="G2">
        <v>0</v>
      </c>
      <c r="H2">
        <v>82</v>
      </c>
      <c r="I2">
        <v>33</v>
      </c>
      <c r="J2" s="3">
        <f t="shared" ref="J2:J4" si="1">100*(H2+I2)/D2</f>
        <v>27.980535279805352</v>
      </c>
      <c r="K2" s="3">
        <f t="shared" ref="K2:K4" si="2">100*I2/D2</f>
        <v>8.0291970802919703</v>
      </c>
      <c r="L2">
        <v>285</v>
      </c>
      <c r="M2">
        <v>33</v>
      </c>
      <c r="N2">
        <v>82</v>
      </c>
      <c r="O2" s="1">
        <f t="shared" ref="O2:O4" si="3">M2+N2</f>
        <v>115</v>
      </c>
      <c r="P2" s="3">
        <f t="shared" ref="P2:P4" si="4">100*M2/O2</f>
        <v>28.695652173913043</v>
      </c>
      <c r="Q2">
        <v>0</v>
      </c>
      <c r="R2" s="3">
        <f t="shared" ref="R2:R4" si="5">100*Q2/O2</f>
        <v>0</v>
      </c>
      <c r="S2">
        <v>115</v>
      </c>
      <c r="T2">
        <v>0</v>
      </c>
      <c r="U2">
        <v>0</v>
      </c>
      <c r="V2">
        <v>15</v>
      </c>
      <c r="W2" s="3">
        <f t="shared" ref="W2:W4" si="6">100*V2/$O2</f>
        <v>13.043478260869565</v>
      </c>
      <c r="X2">
        <v>8</v>
      </c>
      <c r="Y2" s="3">
        <f t="shared" ref="Y2:Y4" si="7">100*X2/$O2</f>
        <v>6.9565217391304346</v>
      </c>
      <c r="Z2">
        <v>6</v>
      </c>
      <c r="AA2" s="3">
        <f t="shared" ref="AA2:AA4" si="8">100*Z2/$O2</f>
        <v>5.2173913043478262</v>
      </c>
      <c r="AB2">
        <v>79</v>
      </c>
      <c r="AC2" s="3">
        <f t="shared" ref="AC2:AC4" si="9">100*AB2/$O2</f>
        <v>68.695652173913047</v>
      </c>
      <c r="AD2">
        <v>5</v>
      </c>
      <c r="AE2" s="3">
        <f t="shared" ref="AE2:AE4" si="10">100*AD2/$O2</f>
        <v>4.3478260869565215</v>
      </c>
      <c r="AF2">
        <v>2</v>
      </c>
      <c r="AG2" s="3">
        <f t="shared" ref="AG2:AG4" si="11">100*AF2/$O2</f>
        <v>1.7391304347826086</v>
      </c>
      <c r="AH2" t="s">
        <v>33</v>
      </c>
      <c r="AI2">
        <v>1</v>
      </c>
      <c r="AJ2" t="s">
        <v>200</v>
      </c>
    </row>
    <row r="3" spans="1:36" x14ac:dyDescent="0.4">
      <c r="A3">
        <v>10</v>
      </c>
      <c r="B3" s="4">
        <v>2707</v>
      </c>
      <c r="C3" t="s">
        <v>56</v>
      </c>
      <c r="D3">
        <v>1211</v>
      </c>
      <c r="E3">
        <f t="shared" si="0"/>
        <v>1211</v>
      </c>
      <c r="F3">
        <v>1100</v>
      </c>
      <c r="G3">
        <v>0</v>
      </c>
      <c r="H3">
        <v>181</v>
      </c>
      <c r="I3">
        <v>91</v>
      </c>
      <c r="J3" s="18">
        <f t="shared" si="1"/>
        <v>22.460776218001651</v>
      </c>
      <c r="K3" s="18">
        <f t="shared" si="2"/>
        <v>7.5144508670520231</v>
      </c>
      <c r="L3">
        <v>828</v>
      </c>
      <c r="M3">
        <v>91</v>
      </c>
      <c r="N3">
        <v>181</v>
      </c>
      <c r="O3">
        <f t="shared" si="3"/>
        <v>272</v>
      </c>
      <c r="P3" s="18">
        <f t="shared" si="4"/>
        <v>33.455882352941174</v>
      </c>
      <c r="Q3">
        <v>10</v>
      </c>
      <c r="R3" s="18">
        <f t="shared" si="5"/>
        <v>3.6764705882352939</v>
      </c>
      <c r="S3">
        <v>262</v>
      </c>
      <c r="T3">
        <v>0</v>
      </c>
      <c r="U3">
        <v>0</v>
      </c>
      <c r="V3">
        <v>20</v>
      </c>
      <c r="W3" s="18">
        <f t="shared" si="6"/>
        <v>7.3529411764705879</v>
      </c>
      <c r="X3">
        <v>9</v>
      </c>
      <c r="Y3" s="18">
        <f t="shared" si="7"/>
        <v>3.3088235294117645</v>
      </c>
      <c r="Z3">
        <v>21</v>
      </c>
      <c r="AA3" s="18">
        <f t="shared" si="8"/>
        <v>7.7205882352941178</v>
      </c>
      <c r="AB3">
        <v>196</v>
      </c>
      <c r="AC3" s="18">
        <f t="shared" si="9"/>
        <v>72.058823529411768</v>
      </c>
      <c r="AD3" s="18">
        <v>12</v>
      </c>
      <c r="AE3" s="18">
        <f t="shared" si="10"/>
        <v>4.4117647058823533</v>
      </c>
      <c r="AF3" s="18">
        <v>4</v>
      </c>
      <c r="AG3" s="18">
        <f t="shared" si="11"/>
        <v>1.4705882352941178</v>
      </c>
      <c r="AH3">
        <v>2017</v>
      </c>
      <c r="AI3">
        <v>2</v>
      </c>
      <c r="AJ3" t="s">
        <v>203</v>
      </c>
    </row>
    <row r="4" spans="1:36" s="3" customFormat="1" x14ac:dyDescent="0.4">
      <c r="A4">
        <v>10</v>
      </c>
      <c r="B4" s="4">
        <v>2708</v>
      </c>
      <c r="C4" t="s">
        <v>57</v>
      </c>
      <c r="D4">
        <v>1067</v>
      </c>
      <c r="E4">
        <f t="shared" si="0"/>
        <v>1067</v>
      </c>
      <c r="F4">
        <v>1000</v>
      </c>
      <c r="G4">
        <v>0</v>
      </c>
      <c r="H4">
        <v>144</v>
      </c>
      <c r="I4">
        <v>57</v>
      </c>
      <c r="J4" s="18">
        <f t="shared" si="1"/>
        <v>18.837863167760077</v>
      </c>
      <c r="K4" s="18">
        <f t="shared" si="2"/>
        <v>5.3420805998125589</v>
      </c>
      <c r="L4">
        <v>799</v>
      </c>
      <c r="M4">
        <v>57</v>
      </c>
      <c r="N4">
        <v>144</v>
      </c>
      <c r="O4">
        <f t="shared" si="3"/>
        <v>201</v>
      </c>
      <c r="P4" s="18">
        <f t="shared" si="4"/>
        <v>28.35820895522388</v>
      </c>
      <c r="Q4">
        <v>9</v>
      </c>
      <c r="R4" s="18">
        <f t="shared" si="5"/>
        <v>4.4776119402985071</v>
      </c>
      <c r="S4">
        <v>192</v>
      </c>
      <c r="T4">
        <v>0</v>
      </c>
      <c r="U4">
        <v>0</v>
      </c>
      <c r="V4">
        <v>14</v>
      </c>
      <c r="W4" s="18">
        <f t="shared" si="6"/>
        <v>6.9651741293532341</v>
      </c>
      <c r="X4">
        <v>6</v>
      </c>
      <c r="Y4" s="18">
        <f t="shared" si="7"/>
        <v>2.9850746268656718</v>
      </c>
      <c r="Z4">
        <v>7</v>
      </c>
      <c r="AA4" s="18">
        <f t="shared" si="8"/>
        <v>3.4825870646766171</v>
      </c>
      <c r="AB4">
        <v>158</v>
      </c>
      <c r="AC4" s="18">
        <f t="shared" si="9"/>
        <v>78.606965174129357</v>
      </c>
      <c r="AD4" s="18">
        <v>3</v>
      </c>
      <c r="AE4" s="18">
        <f t="shared" si="10"/>
        <v>1.4925373134328359</v>
      </c>
      <c r="AF4" s="18">
        <v>4</v>
      </c>
      <c r="AG4" s="18">
        <f t="shared" si="11"/>
        <v>1.9900497512437811</v>
      </c>
      <c r="AH4" t="s">
        <v>33</v>
      </c>
      <c r="AI4">
        <v>1</v>
      </c>
      <c r="AJ4" t="s">
        <v>200</v>
      </c>
    </row>
    <row r="5" spans="1:36" x14ac:dyDescent="0.4">
      <c r="A5">
        <v>10</v>
      </c>
      <c r="B5" s="4">
        <v>2709</v>
      </c>
      <c r="C5" t="s">
        <v>57</v>
      </c>
      <c r="D5">
        <v>1465</v>
      </c>
      <c r="E5">
        <f>D5</f>
        <v>1465</v>
      </c>
      <c r="F5">
        <v>1400</v>
      </c>
      <c r="G5">
        <v>0</v>
      </c>
      <c r="H5">
        <v>233</v>
      </c>
      <c r="I5">
        <v>70</v>
      </c>
      <c r="J5" s="18">
        <f>100*(H5+I5)/D5</f>
        <v>20.682593856655291</v>
      </c>
      <c r="K5" s="18">
        <f>100*I5/D5</f>
        <v>4.7781569965870307</v>
      </c>
      <c r="L5">
        <v>1097</v>
      </c>
      <c r="M5">
        <v>70</v>
      </c>
      <c r="N5">
        <v>232</v>
      </c>
      <c r="O5">
        <f>M5+N5</f>
        <v>302</v>
      </c>
      <c r="P5" s="18">
        <f>100*M5/O5</f>
        <v>23.178807947019866</v>
      </c>
      <c r="Q5">
        <v>6</v>
      </c>
      <c r="R5" s="18">
        <f>100*Q5/O5</f>
        <v>1.9867549668874172</v>
      </c>
      <c r="S5">
        <v>296</v>
      </c>
      <c r="T5">
        <v>0</v>
      </c>
      <c r="U5">
        <v>0</v>
      </c>
      <c r="V5">
        <v>23</v>
      </c>
      <c r="W5" s="18">
        <f>100*V5/$O5</f>
        <v>7.6158940397350996</v>
      </c>
      <c r="X5">
        <v>4</v>
      </c>
      <c r="Y5" s="18">
        <f>100*X5/$O5</f>
        <v>1.3245033112582782</v>
      </c>
      <c r="Z5">
        <v>29</v>
      </c>
      <c r="AA5" s="18">
        <f>100*Z5/$O5</f>
        <v>9.6026490066225172</v>
      </c>
      <c r="AB5">
        <v>235</v>
      </c>
      <c r="AC5" s="18">
        <f>100*AB5/$O5</f>
        <v>77.814569536423846</v>
      </c>
      <c r="AD5" s="18">
        <v>4</v>
      </c>
      <c r="AE5" s="18">
        <f>100*AD5/$O5</f>
        <v>1.3245033112582782</v>
      </c>
      <c r="AF5" s="18">
        <v>1</v>
      </c>
      <c r="AG5" s="18">
        <f>100*AF5/$O5</f>
        <v>0.33112582781456956</v>
      </c>
      <c r="AH5">
        <v>2017</v>
      </c>
      <c r="AI5">
        <v>1</v>
      </c>
      <c r="AJ5" t="s">
        <v>200</v>
      </c>
    </row>
    <row r="6" spans="1:36" x14ac:dyDescent="0.4">
      <c r="A6">
        <v>10</v>
      </c>
      <c r="B6" s="4">
        <v>2710</v>
      </c>
      <c r="C6" t="s">
        <v>57</v>
      </c>
      <c r="D6">
        <v>982</v>
      </c>
      <c r="E6">
        <f t="shared" ref="E6:E7" si="12">D6</f>
        <v>982</v>
      </c>
      <c r="F6">
        <v>900</v>
      </c>
      <c r="G6">
        <v>0</v>
      </c>
      <c r="H6">
        <v>206</v>
      </c>
      <c r="I6">
        <v>30</v>
      </c>
      <c r="J6" s="18">
        <f t="shared" ref="J6:J7" si="13">100*(H6+I6)/D6</f>
        <v>24.032586558044805</v>
      </c>
      <c r="K6" s="18">
        <f t="shared" ref="K6:K7" si="14">100*I6/D6</f>
        <v>3.0549898167006111</v>
      </c>
      <c r="L6">
        <v>664</v>
      </c>
      <c r="M6">
        <v>30</v>
      </c>
      <c r="N6">
        <v>206</v>
      </c>
      <c r="O6">
        <f t="shared" ref="O6:O7" si="15">M6+N6</f>
        <v>236</v>
      </c>
      <c r="P6" s="18">
        <f t="shared" ref="P6:P7" si="16">100*M6/O6</f>
        <v>12.711864406779661</v>
      </c>
      <c r="Q6">
        <v>5</v>
      </c>
      <c r="R6" s="18">
        <f t="shared" ref="R6:R7" si="17">100*Q6/O6</f>
        <v>2.1186440677966103</v>
      </c>
      <c r="S6">
        <v>231</v>
      </c>
      <c r="T6">
        <v>0</v>
      </c>
      <c r="U6">
        <v>0</v>
      </c>
      <c r="V6">
        <v>21</v>
      </c>
      <c r="W6" s="18">
        <f t="shared" ref="W6:W7" si="18">100*V6/$O6</f>
        <v>8.898305084745763</v>
      </c>
      <c r="X6">
        <v>11</v>
      </c>
      <c r="Y6" s="18">
        <f t="shared" ref="Y6:Y7" si="19">100*X6/$O6</f>
        <v>4.6610169491525424</v>
      </c>
      <c r="Z6">
        <v>14</v>
      </c>
      <c r="AA6" s="18">
        <f t="shared" ref="AA6:AA7" si="20">100*Z6/$O6</f>
        <v>5.9322033898305087</v>
      </c>
      <c r="AB6">
        <v>176</v>
      </c>
      <c r="AC6" s="18">
        <f t="shared" ref="AC6:AC7" si="21">100*AB6/$O6</f>
        <v>74.576271186440678</v>
      </c>
      <c r="AD6">
        <v>6</v>
      </c>
      <c r="AE6" s="18">
        <f t="shared" ref="AE6:AE7" si="22">100*AD6/$O6</f>
        <v>2.5423728813559321</v>
      </c>
      <c r="AF6">
        <v>3</v>
      </c>
      <c r="AG6" s="18">
        <f t="shared" ref="AG6:AG7" si="23">100*AF6/$O6</f>
        <v>1.271186440677966</v>
      </c>
      <c r="AH6">
        <v>2017</v>
      </c>
      <c r="AI6">
        <v>1</v>
      </c>
      <c r="AJ6" t="s">
        <v>200</v>
      </c>
    </row>
    <row r="7" spans="1:36" x14ac:dyDescent="0.4">
      <c r="A7">
        <v>10</v>
      </c>
      <c r="B7" s="4">
        <v>2711</v>
      </c>
      <c r="C7" t="s">
        <v>58</v>
      </c>
      <c r="D7">
        <v>448</v>
      </c>
      <c r="E7">
        <f t="shared" si="12"/>
        <v>448</v>
      </c>
      <c r="F7">
        <v>400</v>
      </c>
      <c r="G7">
        <v>0</v>
      </c>
      <c r="H7">
        <v>231</v>
      </c>
      <c r="I7">
        <v>22</v>
      </c>
      <c r="J7" s="18">
        <f t="shared" si="13"/>
        <v>56.473214285714285</v>
      </c>
      <c r="K7" s="18">
        <f t="shared" si="14"/>
        <v>4.9107142857142856</v>
      </c>
      <c r="L7">
        <v>147</v>
      </c>
      <c r="M7">
        <v>22</v>
      </c>
      <c r="N7">
        <v>231</v>
      </c>
      <c r="O7">
        <f t="shared" si="15"/>
        <v>253</v>
      </c>
      <c r="P7" s="18">
        <f t="shared" si="16"/>
        <v>8.695652173913043</v>
      </c>
      <c r="Q7">
        <v>5</v>
      </c>
      <c r="R7" s="18">
        <f t="shared" si="17"/>
        <v>1.9762845849802371</v>
      </c>
      <c r="S7">
        <v>248</v>
      </c>
      <c r="T7">
        <v>0</v>
      </c>
      <c r="U7">
        <v>0</v>
      </c>
      <c r="V7">
        <v>5</v>
      </c>
      <c r="W7" s="18">
        <f t="shared" si="18"/>
        <v>1.9762845849802371</v>
      </c>
      <c r="X7">
        <v>0</v>
      </c>
      <c r="Y7" s="18">
        <f t="shared" si="19"/>
        <v>0</v>
      </c>
      <c r="Z7">
        <v>21</v>
      </c>
      <c r="AA7" s="18">
        <f t="shared" si="20"/>
        <v>8.3003952569169961</v>
      </c>
      <c r="AB7">
        <v>221</v>
      </c>
      <c r="AC7" s="18">
        <f t="shared" si="21"/>
        <v>87.351778656126484</v>
      </c>
      <c r="AD7">
        <v>1</v>
      </c>
      <c r="AE7" s="18">
        <f t="shared" si="22"/>
        <v>0.39525691699604742</v>
      </c>
      <c r="AF7">
        <v>0</v>
      </c>
      <c r="AG7" s="18">
        <f t="shared" si="23"/>
        <v>0</v>
      </c>
      <c r="AH7" t="s">
        <v>33</v>
      </c>
      <c r="AI7">
        <v>1</v>
      </c>
      <c r="AJ7" t="s">
        <v>200</v>
      </c>
    </row>
    <row r="8" spans="1:36" x14ac:dyDescent="0.4">
      <c r="B8" s="1">
        <f>SUBTOTAL(103,Дума_партии3413[УИК])</f>
        <v>6</v>
      </c>
      <c r="D8" s="1">
        <f>SUBTOTAL(109,Дума_партии3413[Число избирателей, внесенных в список на момент окончания голосования])</f>
        <v>5584</v>
      </c>
      <c r="F8" s="1">
        <f>SUBTOTAL(109,Дума_партии3413[Число бюллетеней, полученных участковой избирательной комиссией])</f>
        <v>5200</v>
      </c>
      <c r="G8" s="1">
        <f>SUBTOTAL(109,Дума_партии3413[Число бюллетеней, выданных избирателям, проголосовавшим досрочно в помещении территориальной избирательной комиссии])</f>
        <v>0</v>
      </c>
      <c r="H8" s="1">
        <f>SUBTOTAL(109,Дума_партии3413[Число бюллетеней, выданных избирателям, в помещении для голосования в день голосования])</f>
        <v>1077</v>
      </c>
      <c r="I8" s="1">
        <f>SUBTOTAL(109,Дума_партии3413[Число бюллетеней, выданных избирателям, проголосовавшим вне помещения для голосования в день голосования])</f>
        <v>303</v>
      </c>
      <c r="J8" s="1"/>
      <c r="K8" s="1"/>
      <c r="L8" s="1">
        <f>SUBTOTAL(109,Дума_партии3413[Число погашенных бюллетеней])</f>
        <v>3820</v>
      </c>
      <c r="M8" s="1">
        <f>SUBTOTAL(109,Дума_партии3413[Число бюллетеней, содержащихся в переносных ящиках для голосования])</f>
        <v>303</v>
      </c>
      <c r="N8" s="1">
        <f>SUBTOTAL(109,Дума_партии3413[Число бюллетеней, содержащихся в стационарных ящиках для голосования])</f>
        <v>1076</v>
      </c>
      <c r="O8" s="1">
        <f>SUBTOTAL(109,Дума_партии3413[Обнаружено])</f>
        <v>1379</v>
      </c>
      <c r="P8" s="1"/>
      <c r="Q8" s="1">
        <f>SUBTOTAL(109,Дума_партии3413[Число недействительных бюллетеней])</f>
        <v>35</v>
      </c>
      <c r="R8" s="1"/>
      <c r="S8" s="8">
        <f>SUBTOTAL(109,Дума_партии3413[Число действительных бюллетеней])</f>
        <v>1344</v>
      </c>
      <c r="T8" s="1">
        <f>SUBTOTAL(109,Дума_партии3413[Число утраченных бюллетеней])</f>
        <v>0</v>
      </c>
      <c r="U8" s="1">
        <f>SUBTOTAL(109,Дума_партии3413[Число бюллетеней, не учтенных при получении])</f>
        <v>0</v>
      </c>
      <c r="V8" s="1">
        <f>SUBTOTAL(109,Дума_партии3413[Вершинин Евгений Петрович])</f>
        <v>98</v>
      </c>
      <c r="W8" s="1"/>
      <c r="X8" s="1">
        <f>SUBTOTAL(109,Дума_партии3413[Ермилова Марина Леонидовна])</f>
        <v>38</v>
      </c>
      <c r="Y8" s="1"/>
      <c r="Z8" s="1">
        <f>SUBTOTAL(109,Дума_партии3413[Колистратов Дмитрий Анатольевич])</f>
        <v>98</v>
      </c>
      <c r="AA8" s="1"/>
      <c r="AB8" s="1">
        <f>SUBTOTAL(109,Дума_партии3413[Рыбальченко Андрей Николаевич])</f>
        <v>1065</v>
      </c>
      <c r="AC8" s="1"/>
      <c r="AD8" s="1">
        <f>SUBTOTAL(109,Дума_партии3413[Хацук Анастасия Павловна])</f>
        <v>31</v>
      </c>
      <c r="AE8" s="1"/>
      <c r="AF8" s="1">
        <f>SUBTOTAL(109,Дума_партии3413[Цалис Елена Станиславовна])</f>
        <v>14</v>
      </c>
      <c r="AG8" s="1"/>
      <c r="AH8" s="1">
        <f>SUBTOTAL(102,Дума_партии3413[КОИБ])</f>
        <v>3</v>
      </c>
      <c r="AI8" s="1">
        <f>SUBTOTAL(102,Дума_партии3413[Наблюдателей])</f>
        <v>6</v>
      </c>
    </row>
    <row r="9" spans="1:36" x14ac:dyDescent="0.4">
      <c r="A9" s="3"/>
      <c r="B9" s="3"/>
      <c r="C9" s="3"/>
      <c r="D9" s="3"/>
      <c r="E9" s="3"/>
      <c r="F9" s="3"/>
      <c r="G9" s="3"/>
      <c r="H9" s="3" t="s">
        <v>12</v>
      </c>
      <c r="I9" s="3">
        <f>100*(H8+I8)/D8</f>
        <v>24.713467048710601</v>
      </c>
      <c r="L9" s="3"/>
      <c r="M9" s="3"/>
      <c r="N9" s="3"/>
      <c r="O9" s="3"/>
      <c r="Q9" s="3"/>
      <c r="S9" s="3"/>
      <c r="T9" s="3"/>
      <c r="U9" s="3"/>
      <c r="V9" s="3">
        <f>100*V8/$O8</f>
        <v>7.1065989847715736</v>
      </c>
      <c r="X9" s="3">
        <f>100*X8/$O8</f>
        <v>2.7556200145032634</v>
      </c>
      <c r="Z9" s="3">
        <f>100*Z8/$O8</f>
        <v>7.1065989847715736</v>
      </c>
      <c r="AB9" s="3">
        <f>100*AB8/$O8</f>
        <v>77.229876722262503</v>
      </c>
      <c r="AD9" s="3">
        <f>100*AD8/$O8</f>
        <v>2.2480058013052937</v>
      </c>
      <c r="AF9" s="3">
        <f>100*AF8/$O8</f>
        <v>1.015228426395939</v>
      </c>
      <c r="AH9" s="3"/>
    </row>
    <row r="10" spans="1:36" x14ac:dyDescent="0.4">
      <c r="A10" s="3"/>
      <c r="B10" s="3"/>
      <c r="C10" s="3"/>
      <c r="D10" s="3"/>
      <c r="E10" s="3"/>
      <c r="F10" s="3"/>
      <c r="G10" s="3"/>
      <c r="H10" s="3"/>
      <c r="I10" s="3"/>
      <c r="L10" s="3"/>
      <c r="M10" s="3"/>
      <c r="N10" s="3"/>
      <c r="O10" s="3"/>
      <c r="Q10" s="3"/>
      <c r="S10" s="3"/>
      <c r="T10" s="3"/>
      <c r="U10" s="3"/>
      <c r="V10" s="3"/>
      <c r="X10" s="3"/>
      <c r="Z10" s="3"/>
      <c r="AB10" s="3"/>
      <c r="AH10" s="3"/>
      <c r="AI10" s="3"/>
    </row>
    <row r="26" spans="22:25" x14ac:dyDescent="0.4">
      <c r="W26" s="1"/>
    </row>
    <row r="27" spans="22:25" x14ac:dyDescent="0.4">
      <c r="V27" s="3"/>
      <c r="W27" s="9"/>
    </row>
    <row r="28" spans="22:25" x14ac:dyDescent="0.4">
      <c r="W28" s="5"/>
      <c r="Y28" s="5"/>
    </row>
    <row r="29" spans="22:25" x14ac:dyDescent="0.4">
      <c r="V29" s="3"/>
      <c r="W29" s="9"/>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3"/>
      <c r="W41" s="1"/>
    </row>
    <row r="42" spans="22:23" x14ac:dyDescent="0.4">
      <c r="V42" s="3"/>
      <c r="W42" s="1"/>
    </row>
    <row r="43" spans="22:23" x14ac:dyDescent="0.4">
      <c r="V43" s="3"/>
      <c r="W43" s="1"/>
    </row>
    <row r="44" spans="22:23" x14ac:dyDescent="0.4">
      <c r="V44" s="3"/>
      <c r="W44" s="1"/>
    </row>
    <row r="45" spans="22:23" x14ac:dyDescent="0.4">
      <c r="V45" s="1" t="s">
        <v>83</v>
      </c>
      <c r="W45" s="1"/>
    </row>
    <row r="46" spans="22:23" x14ac:dyDescent="0.4">
      <c r="V46" s="1">
        <f>MAX(Дума_партии[Вес участка])*2</f>
        <v>5646</v>
      </c>
      <c r="W46" s="1"/>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65089-1C05-4678-9E37-5F81948446C8}">
  <dimension ref="A1:AJ46"/>
  <sheetViews>
    <sheetView zoomScale="70" zoomScaleNormal="70" workbookViewId="0">
      <pane ySplit="1" topLeftCell="A2" activePane="bottomLeft" state="frozen"/>
      <selection pane="bottomLeft" activeCell="W15" sqref="W15"/>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29" width="6.23046875" style="3" customWidth="1"/>
    <col min="30" max="30" width="6.23046875" style="1" customWidth="1"/>
    <col min="31" max="31" width="6.23046875" style="3" customWidth="1"/>
    <col min="32" max="32" width="6.23046875" style="1" customWidth="1"/>
    <col min="33" max="33" width="6.23046875" style="3" customWidth="1"/>
    <col min="34" max="34" width="6.23046875" style="1" customWidth="1"/>
    <col min="35" max="35" width="6.53515625" style="6" customWidth="1"/>
    <col min="36" max="36" width="19.3828125" style="1" customWidth="1"/>
    <col min="37" max="16384" width="9.23046875" style="1"/>
  </cols>
  <sheetData>
    <row r="1" spans="1:36"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1" t="s">
        <v>71</v>
      </c>
      <c r="W1" s="14" t="s">
        <v>77</v>
      </c>
      <c r="X1" s="11" t="s">
        <v>72</v>
      </c>
      <c r="Y1" s="14" t="s">
        <v>78</v>
      </c>
      <c r="Z1" s="11" t="s">
        <v>73</v>
      </c>
      <c r="AA1" s="14" t="s">
        <v>79</v>
      </c>
      <c r="AB1" s="11" t="s">
        <v>74</v>
      </c>
      <c r="AC1" s="14" t="s">
        <v>80</v>
      </c>
      <c r="AD1" s="17" t="s">
        <v>75</v>
      </c>
      <c r="AE1" s="14" t="s">
        <v>81</v>
      </c>
      <c r="AF1" s="11" t="s">
        <v>76</v>
      </c>
      <c r="AG1" s="14" t="s">
        <v>82</v>
      </c>
      <c r="AH1" s="15" t="s">
        <v>32</v>
      </c>
      <c r="AI1" s="25" t="s">
        <v>23</v>
      </c>
      <c r="AJ1" s="25" t="s">
        <v>205</v>
      </c>
    </row>
    <row r="2" spans="1:36" x14ac:dyDescent="0.4">
      <c r="A2">
        <v>1</v>
      </c>
      <c r="B2" s="2">
        <v>2698</v>
      </c>
      <c r="C2" t="s">
        <v>35</v>
      </c>
      <c r="D2">
        <v>1257</v>
      </c>
      <c r="E2" s="1">
        <f t="shared" ref="E2:E7" si="0">D2</f>
        <v>1257</v>
      </c>
      <c r="F2">
        <v>1200</v>
      </c>
      <c r="G2">
        <v>0</v>
      </c>
      <c r="H2">
        <v>290</v>
      </c>
      <c r="I2">
        <v>44</v>
      </c>
      <c r="J2" s="3">
        <f t="shared" ref="J2:J7" si="1">100*(H2+I2)/D2</f>
        <v>26.571201272871917</v>
      </c>
      <c r="K2" s="3">
        <f t="shared" ref="K2:K7" si="2">100*I2/D2</f>
        <v>3.5003977724741446</v>
      </c>
      <c r="L2">
        <v>866</v>
      </c>
      <c r="M2">
        <v>44</v>
      </c>
      <c r="N2">
        <v>290</v>
      </c>
      <c r="O2" s="1">
        <f t="shared" ref="O2:O7" si="3">M2+N2</f>
        <v>334</v>
      </c>
      <c r="P2" s="3">
        <f t="shared" ref="P2:P7" si="4">100*M2/O2</f>
        <v>13.173652694610778</v>
      </c>
      <c r="Q2">
        <v>24</v>
      </c>
      <c r="R2" s="3">
        <f t="shared" ref="R2:R7" si="5">100*Q2/O2</f>
        <v>7.1856287425149699</v>
      </c>
      <c r="S2">
        <v>310</v>
      </c>
      <c r="T2">
        <v>0</v>
      </c>
      <c r="U2">
        <v>0</v>
      </c>
      <c r="V2">
        <v>218</v>
      </c>
      <c r="W2" s="3">
        <f t="shared" ref="W2:W7" si="6">100*V2/$O2</f>
        <v>65.269461077844312</v>
      </c>
      <c r="X2">
        <v>22</v>
      </c>
      <c r="Y2" s="3">
        <f t="shared" ref="Y2:Y7" si="7">100*X2/$O2</f>
        <v>6.5868263473053892</v>
      </c>
      <c r="Z2">
        <v>23</v>
      </c>
      <c r="AA2" s="3">
        <f t="shared" ref="AA2:AA7" si="8">100*Z2/$O2</f>
        <v>6.88622754491018</v>
      </c>
      <c r="AB2">
        <v>5</v>
      </c>
      <c r="AC2" s="3">
        <f t="shared" ref="AC2:AC7" si="9">100*AB2/$O2</f>
        <v>1.4970059880239521</v>
      </c>
      <c r="AD2">
        <v>11</v>
      </c>
      <c r="AE2" s="3">
        <f t="shared" ref="AE2:AE7" si="10">100*AD2/$O2</f>
        <v>3.2934131736526946</v>
      </c>
      <c r="AF2">
        <v>31</v>
      </c>
      <c r="AG2" s="3">
        <f t="shared" ref="AG2:AG7" si="11">100*AF2/$O2</f>
        <v>9.2814371257485035</v>
      </c>
      <c r="AH2" t="s">
        <v>33</v>
      </c>
      <c r="AI2">
        <v>1</v>
      </c>
      <c r="AJ2" t="s">
        <v>200</v>
      </c>
    </row>
    <row r="3" spans="1:36" x14ac:dyDescent="0.4">
      <c r="A3">
        <v>1</v>
      </c>
      <c r="B3" s="4">
        <v>2699</v>
      </c>
      <c r="C3" t="s">
        <v>36</v>
      </c>
      <c r="D3">
        <v>1270</v>
      </c>
      <c r="E3">
        <f t="shared" si="0"/>
        <v>1270</v>
      </c>
      <c r="F3">
        <v>1200</v>
      </c>
      <c r="G3">
        <v>0</v>
      </c>
      <c r="H3">
        <v>395</v>
      </c>
      <c r="I3">
        <v>79</v>
      </c>
      <c r="J3" s="18">
        <f t="shared" si="1"/>
        <v>37.322834645669289</v>
      </c>
      <c r="K3" s="18">
        <f t="shared" si="2"/>
        <v>6.2204724409448815</v>
      </c>
      <c r="L3">
        <v>726</v>
      </c>
      <c r="M3">
        <v>79</v>
      </c>
      <c r="N3">
        <v>395</v>
      </c>
      <c r="O3">
        <f t="shared" si="3"/>
        <v>474</v>
      </c>
      <c r="P3" s="18">
        <f t="shared" si="4"/>
        <v>16.666666666666668</v>
      </c>
      <c r="Q3">
        <v>15</v>
      </c>
      <c r="R3" s="18">
        <f t="shared" si="5"/>
        <v>3.1645569620253164</v>
      </c>
      <c r="S3">
        <v>459</v>
      </c>
      <c r="T3">
        <v>0</v>
      </c>
      <c r="U3">
        <v>0</v>
      </c>
      <c r="V3">
        <v>232</v>
      </c>
      <c r="W3" s="18">
        <f t="shared" si="6"/>
        <v>48.945147679324897</v>
      </c>
      <c r="X3">
        <v>2</v>
      </c>
      <c r="Y3" s="18">
        <f t="shared" si="7"/>
        <v>0.4219409282700422</v>
      </c>
      <c r="Z3">
        <v>12</v>
      </c>
      <c r="AA3" s="18">
        <f t="shared" si="8"/>
        <v>2.5316455696202533</v>
      </c>
      <c r="AB3">
        <v>14</v>
      </c>
      <c r="AC3" s="18">
        <f t="shared" si="9"/>
        <v>2.9535864978902953</v>
      </c>
      <c r="AD3">
        <v>183</v>
      </c>
      <c r="AE3" s="18">
        <f t="shared" si="10"/>
        <v>38.607594936708864</v>
      </c>
      <c r="AF3">
        <v>16</v>
      </c>
      <c r="AG3" s="18">
        <f t="shared" si="11"/>
        <v>3.3755274261603376</v>
      </c>
      <c r="AH3" t="s">
        <v>33</v>
      </c>
      <c r="AI3">
        <v>1</v>
      </c>
      <c r="AJ3" t="s">
        <v>200</v>
      </c>
    </row>
    <row r="4" spans="1:36" s="3" customFormat="1" x14ac:dyDescent="0.4">
      <c r="A4">
        <v>1</v>
      </c>
      <c r="B4" s="4">
        <v>2700</v>
      </c>
      <c r="C4" t="s">
        <v>37</v>
      </c>
      <c r="D4">
        <v>496</v>
      </c>
      <c r="E4">
        <f t="shared" si="0"/>
        <v>496</v>
      </c>
      <c r="F4">
        <v>480</v>
      </c>
      <c r="G4">
        <v>0</v>
      </c>
      <c r="H4">
        <v>97</v>
      </c>
      <c r="I4">
        <v>40</v>
      </c>
      <c r="J4" s="18">
        <f t="shared" si="1"/>
        <v>27.620967741935484</v>
      </c>
      <c r="K4" s="18">
        <f t="shared" si="2"/>
        <v>8.064516129032258</v>
      </c>
      <c r="L4">
        <v>343</v>
      </c>
      <c r="M4">
        <v>40</v>
      </c>
      <c r="N4">
        <v>97</v>
      </c>
      <c r="O4">
        <f t="shared" si="3"/>
        <v>137</v>
      </c>
      <c r="P4" s="18">
        <f t="shared" si="4"/>
        <v>29.197080291970803</v>
      </c>
      <c r="Q4">
        <v>3</v>
      </c>
      <c r="R4" s="18">
        <f t="shared" si="5"/>
        <v>2.1897810218978102</v>
      </c>
      <c r="S4">
        <v>134</v>
      </c>
      <c r="T4">
        <v>0</v>
      </c>
      <c r="U4">
        <v>0</v>
      </c>
      <c r="V4">
        <v>67</v>
      </c>
      <c r="W4" s="18">
        <f t="shared" si="6"/>
        <v>48.905109489051092</v>
      </c>
      <c r="X4">
        <v>4</v>
      </c>
      <c r="Y4" s="18">
        <f t="shared" si="7"/>
        <v>2.9197080291970803</v>
      </c>
      <c r="Z4">
        <v>3</v>
      </c>
      <c r="AA4" s="18">
        <f t="shared" si="8"/>
        <v>2.1897810218978102</v>
      </c>
      <c r="AB4">
        <v>1</v>
      </c>
      <c r="AC4" s="18">
        <f t="shared" si="9"/>
        <v>0.72992700729927007</v>
      </c>
      <c r="AD4">
        <v>56</v>
      </c>
      <c r="AE4" s="18">
        <f t="shared" si="10"/>
        <v>40.875912408759127</v>
      </c>
      <c r="AF4">
        <v>3</v>
      </c>
      <c r="AG4" s="18">
        <f t="shared" si="11"/>
        <v>2.1897810218978102</v>
      </c>
      <c r="AH4" t="s">
        <v>33</v>
      </c>
      <c r="AI4">
        <v>1</v>
      </c>
      <c r="AJ4" t="s">
        <v>201</v>
      </c>
    </row>
    <row r="5" spans="1:36" x14ac:dyDescent="0.4">
      <c r="A5">
        <v>1</v>
      </c>
      <c r="B5" s="4">
        <v>2701</v>
      </c>
      <c r="C5" t="s">
        <v>38</v>
      </c>
      <c r="D5">
        <v>682</v>
      </c>
      <c r="E5">
        <f t="shared" si="0"/>
        <v>682</v>
      </c>
      <c r="F5">
        <v>680</v>
      </c>
      <c r="G5">
        <v>0</v>
      </c>
      <c r="H5">
        <v>190</v>
      </c>
      <c r="I5">
        <v>27</v>
      </c>
      <c r="J5" s="18">
        <f t="shared" si="1"/>
        <v>31.818181818181817</v>
      </c>
      <c r="K5" s="18">
        <f t="shared" si="2"/>
        <v>3.9589442815249267</v>
      </c>
      <c r="L5">
        <v>463</v>
      </c>
      <c r="M5">
        <v>27</v>
      </c>
      <c r="N5">
        <v>190</v>
      </c>
      <c r="O5">
        <f t="shared" si="3"/>
        <v>217</v>
      </c>
      <c r="P5" s="18">
        <f t="shared" si="4"/>
        <v>12.442396313364055</v>
      </c>
      <c r="Q5">
        <v>5</v>
      </c>
      <c r="R5" s="18">
        <f t="shared" si="5"/>
        <v>2.3041474654377878</v>
      </c>
      <c r="S5">
        <v>212</v>
      </c>
      <c r="T5">
        <v>0</v>
      </c>
      <c r="U5">
        <v>0</v>
      </c>
      <c r="V5">
        <v>167</v>
      </c>
      <c r="W5" s="18">
        <f t="shared" si="6"/>
        <v>76.958525345622121</v>
      </c>
      <c r="X5">
        <v>1</v>
      </c>
      <c r="Y5" s="18">
        <f t="shared" si="7"/>
        <v>0.46082949308755761</v>
      </c>
      <c r="Z5">
        <v>11</v>
      </c>
      <c r="AA5" s="18">
        <f t="shared" si="8"/>
        <v>5.0691244239631335</v>
      </c>
      <c r="AB5">
        <v>3</v>
      </c>
      <c r="AC5" s="18">
        <f t="shared" si="9"/>
        <v>1.3824884792626728</v>
      </c>
      <c r="AD5">
        <v>21</v>
      </c>
      <c r="AE5" s="18">
        <f t="shared" si="10"/>
        <v>9.67741935483871</v>
      </c>
      <c r="AF5">
        <v>9</v>
      </c>
      <c r="AG5" s="18">
        <f t="shared" si="11"/>
        <v>4.1474654377880187</v>
      </c>
      <c r="AH5" t="s">
        <v>33</v>
      </c>
      <c r="AI5">
        <v>1</v>
      </c>
      <c r="AJ5" t="s">
        <v>200</v>
      </c>
    </row>
    <row r="6" spans="1:36" x14ac:dyDescent="0.4">
      <c r="A6">
        <v>1</v>
      </c>
      <c r="B6" s="4">
        <v>2702</v>
      </c>
      <c r="C6" t="s">
        <v>39</v>
      </c>
      <c r="D6">
        <v>694</v>
      </c>
      <c r="E6">
        <f t="shared" si="0"/>
        <v>694</v>
      </c>
      <c r="F6">
        <v>700</v>
      </c>
      <c r="G6">
        <v>0</v>
      </c>
      <c r="H6">
        <v>184</v>
      </c>
      <c r="I6">
        <v>80</v>
      </c>
      <c r="J6" s="18">
        <f t="shared" si="1"/>
        <v>38.040345821325651</v>
      </c>
      <c r="K6" s="18">
        <f t="shared" si="2"/>
        <v>11.527377521613833</v>
      </c>
      <c r="L6">
        <v>436</v>
      </c>
      <c r="M6">
        <v>80</v>
      </c>
      <c r="N6">
        <v>184</v>
      </c>
      <c r="O6">
        <f t="shared" si="3"/>
        <v>264</v>
      </c>
      <c r="P6" s="18">
        <f t="shared" si="4"/>
        <v>30.303030303030305</v>
      </c>
      <c r="Q6">
        <v>5</v>
      </c>
      <c r="R6" s="18">
        <f t="shared" si="5"/>
        <v>1.893939393939394</v>
      </c>
      <c r="S6">
        <v>259</v>
      </c>
      <c r="T6">
        <v>0</v>
      </c>
      <c r="U6">
        <v>0</v>
      </c>
      <c r="V6">
        <v>219</v>
      </c>
      <c r="W6" s="18">
        <f t="shared" si="6"/>
        <v>82.954545454545453</v>
      </c>
      <c r="X6">
        <v>3</v>
      </c>
      <c r="Y6" s="18">
        <f t="shared" si="7"/>
        <v>1.1363636363636365</v>
      </c>
      <c r="Z6">
        <v>5</v>
      </c>
      <c r="AA6" s="18">
        <f t="shared" si="8"/>
        <v>1.893939393939394</v>
      </c>
      <c r="AB6">
        <v>2</v>
      </c>
      <c r="AC6" s="18">
        <f t="shared" si="9"/>
        <v>0.75757575757575757</v>
      </c>
      <c r="AD6">
        <v>20</v>
      </c>
      <c r="AE6" s="18">
        <f t="shared" si="10"/>
        <v>7.5757575757575761</v>
      </c>
      <c r="AF6">
        <v>10</v>
      </c>
      <c r="AG6" s="18">
        <f t="shared" si="11"/>
        <v>3.7878787878787881</v>
      </c>
      <c r="AH6" t="s">
        <v>33</v>
      </c>
      <c r="AI6">
        <v>1</v>
      </c>
      <c r="AJ6" t="s">
        <v>200</v>
      </c>
    </row>
    <row r="7" spans="1:36" x14ac:dyDescent="0.4">
      <c r="A7">
        <v>1</v>
      </c>
      <c r="B7" s="4">
        <v>2703</v>
      </c>
      <c r="C7" t="s">
        <v>40</v>
      </c>
      <c r="D7">
        <v>72</v>
      </c>
      <c r="E7">
        <f t="shared" si="0"/>
        <v>72</v>
      </c>
      <c r="F7">
        <v>90</v>
      </c>
      <c r="G7">
        <v>0</v>
      </c>
      <c r="H7">
        <v>11</v>
      </c>
      <c r="I7">
        <v>11</v>
      </c>
      <c r="J7" s="18">
        <f t="shared" si="1"/>
        <v>30.555555555555557</v>
      </c>
      <c r="K7" s="18">
        <f t="shared" si="2"/>
        <v>15.277777777777779</v>
      </c>
      <c r="L7">
        <v>68</v>
      </c>
      <c r="M7">
        <v>11</v>
      </c>
      <c r="N7">
        <v>11</v>
      </c>
      <c r="O7">
        <f t="shared" si="3"/>
        <v>22</v>
      </c>
      <c r="P7" s="18">
        <f t="shared" si="4"/>
        <v>50</v>
      </c>
      <c r="Q7">
        <v>0</v>
      </c>
      <c r="R7" s="18">
        <f t="shared" si="5"/>
        <v>0</v>
      </c>
      <c r="S7">
        <v>22</v>
      </c>
      <c r="T7">
        <v>0</v>
      </c>
      <c r="U7">
        <v>0</v>
      </c>
      <c r="V7">
        <v>18</v>
      </c>
      <c r="W7" s="18">
        <f t="shared" si="6"/>
        <v>81.818181818181813</v>
      </c>
      <c r="X7">
        <v>1</v>
      </c>
      <c r="Y7" s="18">
        <f t="shared" si="7"/>
        <v>4.5454545454545459</v>
      </c>
      <c r="Z7">
        <v>0</v>
      </c>
      <c r="AA7" s="18">
        <f t="shared" si="8"/>
        <v>0</v>
      </c>
      <c r="AB7">
        <v>0</v>
      </c>
      <c r="AC7" s="18">
        <f t="shared" si="9"/>
        <v>0</v>
      </c>
      <c r="AD7">
        <v>1</v>
      </c>
      <c r="AE7" s="18">
        <f t="shared" si="10"/>
        <v>4.5454545454545459</v>
      </c>
      <c r="AF7">
        <v>2</v>
      </c>
      <c r="AG7" s="18">
        <f t="shared" si="11"/>
        <v>9.0909090909090917</v>
      </c>
      <c r="AH7" t="s">
        <v>33</v>
      </c>
      <c r="AI7"/>
      <c r="AJ7"/>
    </row>
    <row r="8" spans="1:36" x14ac:dyDescent="0.4">
      <c r="B8" s="1">
        <f>SUBTOTAL(103,Дума_партии3[УИК])</f>
        <v>6</v>
      </c>
      <c r="D8" s="1">
        <f>SUBTOTAL(109,Дума_партии3[Число избирателей, внесенных в список на момент окончания голосования])</f>
        <v>4471</v>
      </c>
      <c r="F8" s="1">
        <f>SUBTOTAL(109,Дума_партии3[Число бюллетеней, полученных участковой избирательной комиссией])</f>
        <v>4350</v>
      </c>
      <c r="G8" s="1">
        <f>SUBTOTAL(109,Дума_партии3[Число бюллетеней, выданных избирателям, проголосовавшим досрочно в помещении территориальной избирательной комиссии])</f>
        <v>0</v>
      </c>
      <c r="H8" s="1">
        <f>SUBTOTAL(109,Дума_партии3[Число бюллетеней, выданных избирателям, в помещении для голосования в день голосования])</f>
        <v>1167</v>
      </c>
      <c r="I8" s="1">
        <f>SUBTOTAL(109,Дума_партии3[Число бюллетеней, выданных избирателям, проголосовавшим вне помещения для голосования в день голосования])</f>
        <v>281</v>
      </c>
      <c r="J8" s="1"/>
      <c r="K8" s="1"/>
      <c r="L8" s="1">
        <f>SUBTOTAL(109,Дума_партии3[Число погашенных бюллетеней])</f>
        <v>2902</v>
      </c>
      <c r="M8" s="1">
        <f>SUBTOTAL(109,Дума_партии3[Число бюллетеней, содержащихся в переносных ящиках для голосования])</f>
        <v>281</v>
      </c>
      <c r="N8" s="1">
        <f>SUBTOTAL(109,Дума_партии3[Число бюллетеней, содержащихся в стационарных ящиках для голосования])</f>
        <v>1167</v>
      </c>
      <c r="O8" s="1">
        <f>SUBTOTAL(109,Дума_партии3[Обнаружено])</f>
        <v>1448</v>
      </c>
      <c r="P8" s="1"/>
      <c r="Q8" s="1">
        <f>SUBTOTAL(109,Дума_партии3[Число недействительных бюллетеней])</f>
        <v>52</v>
      </c>
      <c r="R8" s="1"/>
      <c r="S8" s="8">
        <f>SUBTOTAL(109,Дума_партии3[Число действительных бюллетеней])</f>
        <v>1396</v>
      </c>
      <c r="T8" s="1">
        <f>SUBTOTAL(109,Дума_партии3[Число утраченных бюллетеней])</f>
        <v>0</v>
      </c>
      <c r="U8" s="1">
        <f>SUBTOTAL(109,Дума_партии3[Число бюллетеней, не учтенных при получении])</f>
        <v>0</v>
      </c>
      <c r="V8" s="1">
        <f>SUBTOTAL(109,Дума_партии3[Бурлаенко Татьяна Алексеевна])</f>
        <v>921</v>
      </c>
      <c r="W8" s="1"/>
      <c r="X8" s="1">
        <f>SUBTOTAL(109,Дума_партии3[Вахмистров Евгений Павлович])</f>
        <v>33</v>
      </c>
      <c r="Y8" s="1"/>
      <c r="Z8" s="1">
        <f>SUBTOTAL(109,Дума_партии3[Корякина Светлана Николаевна])</f>
        <v>54</v>
      </c>
      <c r="AA8" s="1"/>
      <c r="AB8" s="1">
        <f>SUBTOTAL(109,Дума_партии3[Малюта Юлия Юрьевна])</f>
        <v>25</v>
      </c>
      <c r="AC8" s="1"/>
      <c r="AD8" s="1">
        <f>SUBTOTAL(109,Дума_партии3[Чубенко Алексей Николаевич])</f>
        <v>292</v>
      </c>
      <c r="AE8" s="1"/>
      <c r="AF8" s="1">
        <f>SUBTOTAL(109,Дума_партии3[Щербакова Ольга Борисовна])</f>
        <v>71</v>
      </c>
      <c r="AG8" s="1"/>
      <c r="AH8" s="1">
        <f>SUBTOTAL(102,Дума_партии3[КОИБ])</f>
        <v>0</v>
      </c>
      <c r="AI8" s="1">
        <f>SUBTOTAL(102,Дума_партии3[Наблюдателей])</f>
        <v>5</v>
      </c>
    </row>
    <row r="9" spans="1:36" x14ac:dyDescent="0.4">
      <c r="A9" s="3"/>
      <c r="B9" s="3"/>
      <c r="C9" s="3"/>
      <c r="D9" s="3"/>
      <c r="E9" s="3"/>
      <c r="F9" s="3"/>
      <c r="G9" s="3"/>
      <c r="H9" s="3" t="s">
        <v>12</v>
      </c>
      <c r="I9" s="3">
        <f>100*(H8+I8)/D8</f>
        <v>32.386490717960186</v>
      </c>
      <c r="L9" s="3"/>
      <c r="M9" s="3"/>
      <c r="N9" s="3"/>
      <c r="O9" s="3"/>
      <c r="Q9" s="3"/>
      <c r="S9" s="3"/>
      <c r="T9" s="3"/>
      <c r="U9" s="3"/>
      <c r="V9" s="3">
        <f>100*V8/$O8</f>
        <v>63.604972375690608</v>
      </c>
      <c r="X9" s="3">
        <f>100*X8/$O8</f>
        <v>2.2790055248618786</v>
      </c>
      <c r="Z9" s="3">
        <f>100*Z8/$O8</f>
        <v>3.729281767955801</v>
      </c>
      <c r="AB9" s="3">
        <f>100*AB8/$O8</f>
        <v>1.7265193370165746</v>
      </c>
      <c r="AD9" s="3">
        <f>100*AD8/$O8</f>
        <v>20.165745856353592</v>
      </c>
      <c r="AF9" s="3">
        <f>100*AF8/$O8</f>
        <v>4.903314917127072</v>
      </c>
      <c r="AH9" s="3"/>
    </row>
    <row r="10" spans="1:36" x14ac:dyDescent="0.4">
      <c r="A10" s="3"/>
      <c r="B10" s="3"/>
      <c r="C10" s="3"/>
      <c r="D10" s="3"/>
      <c r="E10" s="3"/>
      <c r="F10" s="3"/>
      <c r="G10" s="3"/>
      <c r="H10" s="3"/>
      <c r="I10" s="3"/>
      <c r="L10" s="3"/>
      <c r="M10" s="3"/>
      <c r="N10" s="3"/>
      <c r="O10" s="3"/>
      <c r="Q10" s="3"/>
      <c r="S10" s="3"/>
      <c r="T10" s="3"/>
      <c r="U10" s="3"/>
      <c r="V10" s="3"/>
      <c r="X10" s="3"/>
      <c r="Z10" s="3"/>
      <c r="AB10" s="3"/>
      <c r="AD10" s="3"/>
      <c r="AF10" s="3"/>
      <c r="AH10" s="3"/>
      <c r="AI10" s="3"/>
    </row>
    <row r="26" spans="22:25" x14ac:dyDescent="0.4">
      <c r="W26" s="1"/>
    </row>
    <row r="27" spans="22:25" x14ac:dyDescent="0.4">
      <c r="V27" s="3"/>
      <c r="W27" s="9"/>
    </row>
    <row r="28" spans="22:25" x14ac:dyDescent="0.4">
      <c r="W28" s="5"/>
      <c r="Y28" s="5"/>
    </row>
    <row r="29" spans="22:25" x14ac:dyDescent="0.4">
      <c r="V29" s="3"/>
      <c r="W29" s="9"/>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3"/>
      <c r="W41" s="1"/>
    </row>
    <row r="42" spans="22:23" x14ac:dyDescent="0.4">
      <c r="V42" s="3"/>
      <c r="W42" s="1"/>
    </row>
    <row r="43" spans="22:23" x14ac:dyDescent="0.4">
      <c r="V43" s="3"/>
      <c r="W43" s="1"/>
    </row>
    <row r="44" spans="22:23" x14ac:dyDescent="0.4">
      <c r="V44" s="3"/>
      <c r="W44" s="1"/>
    </row>
    <row r="45" spans="22:23" x14ac:dyDescent="0.4">
      <c r="V45" s="1" t="s">
        <v>83</v>
      </c>
      <c r="W45" s="1"/>
    </row>
    <row r="46" spans="22:23" x14ac:dyDescent="0.4">
      <c r="V46" s="1">
        <f>MAX(Дума_партии[Вес участка])*2</f>
        <v>5646</v>
      </c>
      <c r="W46" s="1"/>
    </row>
  </sheetData>
  <phoneticPr fontId="3" type="noConversion"/>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816D4-0BCF-456B-9DCE-A50F0DFEED7B}">
  <dimension ref="A1:AH44"/>
  <sheetViews>
    <sheetView zoomScale="70" zoomScaleNormal="70" workbookViewId="0">
      <pane ySplit="1" topLeftCell="A2" activePane="bottomLeft" state="frozen"/>
      <selection pane="bottomLeft" activeCell="W10" sqref="W10"/>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31" width="6.23046875" style="3" customWidth="1"/>
    <col min="32" max="32" width="6.23046875" style="1" customWidth="1"/>
    <col min="33" max="33" width="6.53515625" style="6" customWidth="1"/>
    <col min="34" max="34" width="19.3828125" style="1" customWidth="1"/>
    <col min="35" max="16384" width="9.23046875" style="1"/>
  </cols>
  <sheetData>
    <row r="1" spans="1:34"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7" t="s">
        <v>100</v>
      </c>
      <c r="W1" s="14" t="s">
        <v>105</v>
      </c>
      <c r="X1" s="17" t="s">
        <v>101</v>
      </c>
      <c r="Y1" s="14" t="s">
        <v>106</v>
      </c>
      <c r="Z1" s="11" t="s">
        <v>102</v>
      </c>
      <c r="AA1" s="14" t="s">
        <v>107</v>
      </c>
      <c r="AB1" s="11" t="s">
        <v>103</v>
      </c>
      <c r="AC1" s="14" t="s">
        <v>108</v>
      </c>
      <c r="AD1" s="17" t="s">
        <v>104</v>
      </c>
      <c r="AE1" s="14" t="s">
        <v>109</v>
      </c>
      <c r="AF1" s="15" t="s">
        <v>32</v>
      </c>
      <c r="AG1" s="25" t="s">
        <v>23</v>
      </c>
      <c r="AH1" s="25" t="s">
        <v>205</v>
      </c>
    </row>
    <row r="2" spans="1:34" x14ac:dyDescent="0.4">
      <c r="A2">
        <v>2</v>
      </c>
      <c r="B2" s="4">
        <v>2718</v>
      </c>
      <c r="C2" t="s">
        <v>41</v>
      </c>
      <c r="D2">
        <v>966</v>
      </c>
      <c r="E2" s="1">
        <f t="shared" ref="E2" si="0">D2</f>
        <v>966</v>
      </c>
      <c r="F2">
        <v>900</v>
      </c>
      <c r="G2">
        <v>0</v>
      </c>
      <c r="H2">
        <v>133</v>
      </c>
      <c r="I2">
        <v>99</v>
      </c>
      <c r="J2" s="3">
        <f t="shared" ref="J2" si="1">100*(H2+I2)/D2</f>
        <v>24.016563146997928</v>
      </c>
      <c r="K2" s="3">
        <f t="shared" ref="K2" si="2">100*I2/D2</f>
        <v>10.248447204968944</v>
      </c>
      <c r="L2">
        <v>668</v>
      </c>
      <c r="M2">
        <v>99</v>
      </c>
      <c r="N2">
        <v>133</v>
      </c>
      <c r="O2" s="1">
        <f t="shared" ref="O2" si="3">M2+N2</f>
        <v>232</v>
      </c>
      <c r="P2" s="3">
        <f t="shared" ref="P2" si="4">100*M2/O2</f>
        <v>42.672413793103445</v>
      </c>
      <c r="Q2">
        <v>6</v>
      </c>
      <c r="R2" s="3">
        <f t="shared" ref="R2" si="5">100*Q2/O2</f>
        <v>2.5862068965517242</v>
      </c>
      <c r="S2">
        <v>226</v>
      </c>
      <c r="T2">
        <v>0</v>
      </c>
      <c r="U2">
        <v>0</v>
      </c>
      <c r="V2">
        <v>156</v>
      </c>
      <c r="W2" s="3">
        <f t="shared" ref="W2" si="6">100*V2/$O2</f>
        <v>67.241379310344826</v>
      </c>
      <c r="X2">
        <v>5</v>
      </c>
      <c r="Y2" s="3">
        <f t="shared" ref="Y2" si="7">100*X2/$O2</f>
        <v>2.1551724137931036</v>
      </c>
      <c r="Z2">
        <v>2</v>
      </c>
      <c r="AA2" s="3">
        <f t="shared" ref="AA2" si="8">100*Z2/$O2</f>
        <v>0.86206896551724133</v>
      </c>
      <c r="AB2">
        <v>34</v>
      </c>
      <c r="AC2" s="3">
        <f t="shared" ref="AC2" si="9">100*AB2/$O2</f>
        <v>14.655172413793103</v>
      </c>
      <c r="AD2">
        <v>29</v>
      </c>
      <c r="AE2" s="3">
        <f t="shared" ref="AE2" si="10">100*AD2/$O2</f>
        <v>12.5</v>
      </c>
      <c r="AF2">
        <v>2017</v>
      </c>
      <c r="AG2">
        <v>1</v>
      </c>
      <c r="AH2" t="s">
        <v>200</v>
      </c>
    </row>
    <row r="3" spans="1:34" x14ac:dyDescent="0.4">
      <c r="A3">
        <v>2</v>
      </c>
      <c r="B3" s="4">
        <v>2719</v>
      </c>
      <c r="C3" t="s">
        <v>42</v>
      </c>
      <c r="D3">
        <v>672</v>
      </c>
      <c r="E3">
        <f>D3</f>
        <v>672</v>
      </c>
      <c r="F3">
        <v>600</v>
      </c>
      <c r="G3">
        <v>0</v>
      </c>
      <c r="H3">
        <v>310</v>
      </c>
      <c r="I3">
        <v>34</v>
      </c>
      <c r="J3" s="18">
        <f>100*(H3+I3)/D3</f>
        <v>51.19047619047619</v>
      </c>
      <c r="K3" s="18">
        <f>100*I3/D3</f>
        <v>5.0595238095238093</v>
      </c>
      <c r="L3">
        <v>256</v>
      </c>
      <c r="M3">
        <v>34</v>
      </c>
      <c r="N3">
        <v>310</v>
      </c>
      <c r="O3">
        <f>M3+N3</f>
        <v>344</v>
      </c>
      <c r="P3" s="18">
        <f>100*M3/O3</f>
        <v>9.8837209302325579</v>
      </c>
      <c r="Q3">
        <v>34</v>
      </c>
      <c r="R3" s="18">
        <f>100*Q3/O3</f>
        <v>9.8837209302325579</v>
      </c>
      <c r="S3">
        <v>310</v>
      </c>
      <c r="T3">
        <v>0</v>
      </c>
      <c r="U3">
        <v>0</v>
      </c>
      <c r="V3">
        <v>269</v>
      </c>
      <c r="W3" s="18">
        <f>100*V3/$O3</f>
        <v>78.197674418604649</v>
      </c>
      <c r="X3">
        <v>5</v>
      </c>
      <c r="Y3" s="18">
        <f>100*X3/$O3</f>
        <v>1.4534883720930232</v>
      </c>
      <c r="Z3">
        <v>18</v>
      </c>
      <c r="AA3" s="18">
        <f>100*Z3/$O3</f>
        <v>5.2325581395348841</v>
      </c>
      <c r="AB3">
        <v>5</v>
      </c>
      <c r="AC3" s="18">
        <f>100*AB3/$O3</f>
        <v>1.4534883720930232</v>
      </c>
      <c r="AD3" s="33">
        <v>13</v>
      </c>
      <c r="AE3" s="18">
        <f>100*AD3/$O3</f>
        <v>3.7790697674418605</v>
      </c>
      <c r="AF3" t="s">
        <v>33</v>
      </c>
      <c r="AG3"/>
      <c r="AH3"/>
    </row>
    <row r="4" spans="1:34" s="3" customFormat="1" x14ac:dyDescent="0.4">
      <c r="A4">
        <v>2</v>
      </c>
      <c r="B4" s="4">
        <v>2720</v>
      </c>
      <c r="C4" t="s">
        <v>43</v>
      </c>
      <c r="D4">
        <v>1460</v>
      </c>
      <c r="E4">
        <f t="shared" ref="E4:E5" si="11">D4</f>
        <v>1460</v>
      </c>
      <c r="F4">
        <v>1400</v>
      </c>
      <c r="G4">
        <v>0</v>
      </c>
      <c r="H4">
        <v>232</v>
      </c>
      <c r="I4">
        <v>55</v>
      </c>
      <c r="J4" s="18">
        <f t="shared" ref="J4:J5" si="12">100*(H4+I4)/D4</f>
        <v>19.657534246575342</v>
      </c>
      <c r="K4" s="18">
        <f t="shared" ref="K4:K5" si="13">100*I4/D4</f>
        <v>3.7671232876712328</v>
      </c>
      <c r="L4">
        <v>1113</v>
      </c>
      <c r="M4">
        <v>55</v>
      </c>
      <c r="N4">
        <v>232</v>
      </c>
      <c r="O4">
        <f t="shared" ref="O4:O5" si="14">M4+N4</f>
        <v>287</v>
      </c>
      <c r="P4" s="18">
        <f t="shared" ref="P4:P5" si="15">100*M4/O4</f>
        <v>19.16376306620209</v>
      </c>
      <c r="Q4">
        <v>7</v>
      </c>
      <c r="R4" s="18">
        <f t="shared" ref="R4:R5" si="16">100*Q4/O4</f>
        <v>2.4390243902439024</v>
      </c>
      <c r="S4">
        <v>280</v>
      </c>
      <c r="T4">
        <v>0</v>
      </c>
      <c r="U4">
        <v>0</v>
      </c>
      <c r="V4">
        <v>229</v>
      </c>
      <c r="W4" s="18">
        <f t="shared" ref="W4:W5" si="17">100*V4/$O4</f>
        <v>79.79094076655052</v>
      </c>
      <c r="X4">
        <v>8</v>
      </c>
      <c r="Y4" s="18">
        <f t="shared" ref="Y4:Y5" si="18">100*X4/$O4</f>
        <v>2.7874564459930316</v>
      </c>
      <c r="Z4">
        <v>3</v>
      </c>
      <c r="AA4" s="18">
        <f t="shared" ref="AA4:AA5" si="19">100*Z4/$O4</f>
        <v>1.0452961672473868</v>
      </c>
      <c r="AB4">
        <v>11</v>
      </c>
      <c r="AC4" s="18">
        <f t="shared" ref="AC4:AC5" si="20">100*AB4/$O4</f>
        <v>3.8327526132404182</v>
      </c>
      <c r="AD4">
        <v>29</v>
      </c>
      <c r="AE4" s="18">
        <f t="shared" ref="AE4:AE5" si="21">100*AD4/$O4</f>
        <v>10.104529616724738</v>
      </c>
      <c r="AF4">
        <v>2017</v>
      </c>
      <c r="AG4"/>
      <c r="AH4"/>
    </row>
    <row r="5" spans="1:34" x14ac:dyDescent="0.4">
      <c r="A5">
        <v>2</v>
      </c>
      <c r="B5" s="4">
        <v>2721</v>
      </c>
      <c r="C5" t="s">
        <v>41</v>
      </c>
      <c r="D5">
        <v>1430</v>
      </c>
      <c r="E5">
        <f t="shared" si="11"/>
        <v>1430</v>
      </c>
      <c r="F5">
        <v>1400</v>
      </c>
      <c r="G5">
        <v>0</v>
      </c>
      <c r="H5">
        <v>363</v>
      </c>
      <c r="I5">
        <v>60</v>
      </c>
      <c r="J5" s="18">
        <f t="shared" si="12"/>
        <v>29.58041958041958</v>
      </c>
      <c r="K5" s="18">
        <f t="shared" si="13"/>
        <v>4.1958041958041958</v>
      </c>
      <c r="L5">
        <v>977</v>
      </c>
      <c r="M5">
        <v>60</v>
      </c>
      <c r="N5">
        <v>363</v>
      </c>
      <c r="O5">
        <f t="shared" si="14"/>
        <v>423</v>
      </c>
      <c r="P5" s="18">
        <f t="shared" si="15"/>
        <v>14.184397163120567</v>
      </c>
      <c r="Q5">
        <v>14</v>
      </c>
      <c r="R5" s="18">
        <f t="shared" si="16"/>
        <v>3.3096926713947989</v>
      </c>
      <c r="S5">
        <v>409</v>
      </c>
      <c r="T5">
        <v>0</v>
      </c>
      <c r="U5">
        <v>0</v>
      </c>
      <c r="V5">
        <v>261</v>
      </c>
      <c r="W5" s="18">
        <f t="shared" si="17"/>
        <v>61.702127659574465</v>
      </c>
      <c r="X5">
        <v>6</v>
      </c>
      <c r="Y5" s="18">
        <f t="shared" si="18"/>
        <v>1.4184397163120568</v>
      </c>
      <c r="Z5">
        <v>3</v>
      </c>
      <c r="AA5" s="18">
        <f t="shared" si="19"/>
        <v>0.70921985815602839</v>
      </c>
      <c r="AB5">
        <v>56</v>
      </c>
      <c r="AC5" s="18">
        <f t="shared" si="20"/>
        <v>13.238770685579196</v>
      </c>
      <c r="AD5">
        <v>83</v>
      </c>
      <c r="AE5" s="18">
        <f t="shared" si="21"/>
        <v>19.621749408983451</v>
      </c>
      <c r="AF5">
        <v>2017</v>
      </c>
      <c r="AG5">
        <v>1</v>
      </c>
      <c r="AH5" t="s">
        <v>200</v>
      </c>
    </row>
    <row r="6" spans="1:34" x14ac:dyDescent="0.4">
      <c r="B6" s="1">
        <f>SUBTOTAL(103,Дума_партии345[УИК])</f>
        <v>4</v>
      </c>
      <c r="D6" s="1">
        <f>SUBTOTAL(109,Дума_партии345[Число избирателей, внесенных в список на момент окончания голосования])</f>
        <v>4528</v>
      </c>
      <c r="F6" s="1">
        <f>SUBTOTAL(109,Дума_партии345[Число бюллетеней, полученных участковой избирательной комиссией])</f>
        <v>4300</v>
      </c>
      <c r="G6" s="1">
        <f>SUBTOTAL(109,Дума_партии345[Число бюллетеней, выданных избирателям, проголосовавшим досрочно в помещении территориальной избирательной комиссии])</f>
        <v>0</v>
      </c>
      <c r="H6" s="1">
        <f>SUBTOTAL(109,Дума_партии345[Число бюллетеней, выданных избирателям, в помещении для голосования в день голосования])</f>
        <v>1038</v>
      </c>
      <c r="I6" s="1">
        <f>SUBTOTAL(109,Дума_партии345[Число бюллетеней, выданных избирателям, проголосовавшим вне помещения для голосования в день голосования])</f>
        <v>248</v>
      </c>
      <c r="J6" s="1"/>
      <c r="K6" s="1"/>
      <c r="L6" s="1">
        <f>SUBTOTAL(109,Дума_партии345[Число погашенных бюллетеней])</f>
        <v>3014</v>
      </c>
      <c r="M6" s="1">
        <f>SUBTOTAL(109,Дума_партии345[Число бюллетеней, содержащихся в переносных ящиках для голосования])</f>
        <v>248</v>
      </c>
      <c r="N6" s="1">
        <f>SUBTOTAL(109,Дума_партии345[Число бюллетеней, содержащихся в стационарных ящиках для голосования])</f>
        <v>1038</v>
      </c>
      <c r="O6" s="1">
        <f>SUBTOTAL(109,Дума_партии345[Обнаружено])</f>
        <v>1286</v>
      </c>
      <c r="P6" s="1"/>
      <c r="Q6" s="1">
        <f>SUBTOTAL(109,Дума_партии345[Число недействительных бюллетеней])</f>
        <v>61</v>
      </c>
      <c r="R6" s="1"/>
      <c r="S6" s="8">
        <f>SUBTOTAL(109,Дума_партии345[Число действительных бюллетеней])</f>
        <v>1225</v>
      </c>
      <c r="T6" s="1">
        <f>SUBTOTAL(109,Дума_партии345[Число утраченных бюллетеней])</f>
        <v>0</v>
      </c>
      <c r="U6" s="1">
        <f>SUBTOTAL(109,Дума_партии345[Число бюллетеней, не учтенных при получении])</f>
        <v>0</v>
      </c>
      <c r="V6" s="1">
        <f>SUBTOTAL(109,Дума_партии345[Данилов Вячеслав Александрович])</f>
        <v>915</v>
      </c>
      <c r="W6" s="1"/>
      <c r="X6" s="1">
        <f>SUBTOTAL(109,Дума_партии345[Космынин Андрей Николаевич])</f>
        <v>24</v>
      </c>
      <c r="Y6" s="1"/>
      <c r="Z6" s="1">
        <f>SUBTOTAL(109,Дума_партии345[Никитенков Владимир Владимирович])</f>
        <v>26</v>
      </c>
      <c r="AA6" s="1"/>
      <c r="AB6" s="1">
        <f>SUBTOTAL(109,Дума_партии345[Орлов Владимир Сергеевич])</f>
        <v>106</v>
      </c>
      <c r="AC6" s="1"/>
      <c r="AD6" s="1">
        <f>SUBTOTAL(109,Дума_партии345[Сорокин Андрей Валентинович])</f>
        <v>154</v>
      </c>
      <c r="AE6" s="1"/>
      <c r="AF6" s="1">
        <f>SUBTOTAL(102,Дума_партии345[КОИБ])</f>
        <v>3</v>
      </c>
      <c r="AG6" s="1">
        <f>SUBTOTAL(102,Дума_партии345[Наблюдателей])</f>
        <v>2</v>
      </c>
    </row>
    <row r="7" spans="1:34" x14ac:dyDescent="0.4">
      <c r="A7" s="3"/>
      <c r="B7" s="3"/>
      <c r="C7" s="3"/>
      <c r="D7" s="3"/>
      <c r="E7" s="3"/>
      <c r="F7" s="3"/>
      <c r="G7" s="3"/>
      <c r="H7" s="3" t="s">
        <v>12</v>
      </c>
      <c r="I7" s="3">
        <f>100*(H6+I6)/D6</f>
        <v>28.401060070671377</v>
      </c>
      <c r="L7" s="3"/>
      <c r="M7" s="3"/>
      <c r="N7" s="3"/>
      <c r="O7" s="3"/>
      <c r="Q7" s="3"/>
      <c r="S7" s="3"/>
      <c r="T7" s="3"/>
      <c r="U7" s="3"/>
      <c r="V7" s="3">
        <f>100*V6/$O6</f>
        <v>71.150855365474342</v>
      </c>
      <c r="X7" s="3">
        <f>100*X6/$O6</f>
        <v>1.8662519440124417</v>
      </c>
      <c r="Z7" s="3">
        <f>100*Z6/$O6</f>
        <v>2.0217729393468118</v>
      </c>
      <c r="AB7" s="3">
        <f>100*AB6/$O6</f>
        <v>8.2426127527216178</v>
      </c>
      <c r="AD7" s="3">
        <f>100*AD6/$O6</f>
        <v>11.975116640746501</v>
      </c>
      <c r="AF7" s="3"/>
    </row>
    <row r="8" spans="1:34" x14ac:dyDescent="0.4">
      <c r="A8" s="3"/>
      <c r="B8" s="3"/>
      <c r="C8" s="3"/>
      <c r="D8" s="3"/>
      <c r="E8" s="3"/>
      <c r="F8" s="3"/>
      <c r="G8" s="3"/>
      <c r="H8" s="3"/>
      <c r="I8" s="3"/>
      <c r="L8" s="3"/>
      <c r="M8" s="3"/>
      <c r="N8" s="3"/>
      <c r="O8" s="3"/>
      <c r="Q8" s="3"/>
      <c r="S8" s="3"/>
      <c r="T8" s="3"/>
      <c r="U8" s="3"/>
      <c r="V8" s="3"/>
      <c r="X8" s="3"/>
      <c r="Z8" s="3"/>
      <c r="AB8" s="3"/>
      <c r="AF8" s="3"/>
      <c r="AG8" s="3"/>
    </row>
    <row r="24" spans="22:25" x14ac:dyDescent="0.4">
      <c r="W24" s="1"/>
    </row>
    <row r="25" spans="22:25" x14ac:dyDescent="0.4">
      <c r="V25" s="3"/>
      <c r="W25" s="9"/>
    </row>
    <row r="26" spans="22:25" x14ac:dyDescent="0.4">
      <c r="W26" s="5"/>
      <c r="Y26" s="5"/>
    </row>
    <row r="27" spans="22:25" x14ac:dyDescent="0.4">
      <c r="V27" s="3"/>
      <c r="W27" s="9"/>
    </row>
    <row r="28" spans="22:25" x14ac:dyDescent="0.4">
      <c r="V28" s="3"/>
      <c r="W28" s="1"/>
    </row>
    <row r="29" spans="22:25" x14ac:dyDescent="0.4">
      <c r="V29" s="3"/>
      <c r="W29" s="1"/>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3"/>
      <c r="W41" s="1"/>
    </row>
    <row r="42" spans="22:23" x14ac:dyDescent="0.4">
      <c r="V42" s="3"/>
      <c r="W42" s="1"/>
    </row>
    <row r="43" spans="22:23" x14ac:dyDescent="0.4">
      <c r="V43" s="1" t="s">
        <v>83</v>
      </c>
      <c r="W43" s="1"/>
    </row>
    <row r="44" spans="22:23" x14ac:dyDescent="0.4">
      <c r="V44" s="1">
        <f>MAX(Дума_партии[Вес участка])*2</f>
        <v>5646</v>
      </c>
      <c r="W44" s="1"/>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29B8-228A-457F-9BC5-BAEA420E6E95}">
  <dimension ref="A1:AJ44"/>
  <sheetViews>
    <sheetView zoomScale="70" zoomScaleNormal="70" workbookViewId="0">
      <pane ySplit="1" topLeftCell="A2" activePane="bottomLeft" state="frozen"/>
      <selection pane="bottomLeft" activeCell="V11" sqref="V11"/>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33" width="6.23046875" style="3" customWidth="1"/>
    <col min="34" max="34" width="6.23046875" style="1" customWidth="1"/>
    <col min="35" max="35" width="6.53515625" style="6" customWidth="1"/>
    <col min="36" max="36" width="19.3828125" style="1" customWidth="1"/>
    <col min="37" max="16384" width="9.23046875" style="1"/>
  </cols>
  <sheetData>
    <row r="1" spans="1:36"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7" t="s">
        <v>110</v>
      </c>
      <c r="W1" s="14" t="s">
        <v>118</v>
      </c>
      <c r="X1" s="17" t="s">
        <v>111</v>
      </c>
      <c r="Y1" s="14" t="s">
        <v>119</v>
      </c>
      <c r="Z1" s="11" t="s">
        <v>112</v>
      </c>
      <c r="AA1" s="14" t="s">
        <v>113</v>
      </c>
      <c r="AB1" s="11" t="s">
        <v>114</v>
      </c>
      <c r="AC1" s="14" t="s">
        <v>120</v>
      </c>
      <c r="AD1" s="17" t="s">
        <v>115</v>
      </c>
      <c r="AE1" s="14" t="s">
        <v>121</v>
      </c>
      <c r="AF1" s="11" t="s">
        <v>116</v>
      </c>
      <c r="AG1" s="14" t="s">
        <v>117</v>
      </c>
      <c r="AH1" s="15" t="s">
        <v>32</v>
      </c>
      <c r="AI1" s="25" t="s">
        <v>23</v>
      </c>
      <c r="AJ1" s="25" t="s">
        <v>205</v>
      </c>
    </row>
    <row r="2" spans="1:36" x14ac:dyDescent="0.4">
      <c r="A2">
        <v>3</v>
      </c>
      <c r="B2" s="4">
        <v>2684</v>
      </c>
      <c r="C2" s="10" t="s">
        <v>44</v>
      </c>
      <c r="D2">
        <v>1768</v>
      </c>
      <c r="E2" s="1">
        <f t="shared" ref="E2:E5" si="0">D2</f>
        <v>1768</v>
      </c>
      <c r="F2">
        <v>1700</v>
      </c>
      <c r="G2">
        <v>0</v>
      </c>
      <c r="H2">
        <v>428</v>
      </c>
      <c r="I2">
        <v>14</v>
      </c>
      <c r="J2" s="3">
        <f t="shared" ref="J2:J5" si="1">100*(H2+I2)/D2</f>
        <v>25</v>
      </c>
      <c r="K2" s="3">
        <f t="shared" ref="K2:K5" si="2">100*I2/D2</f>
        <v>0.79185520361990946</v>
      </c>
      <c r="L2">
        <v>1258</v>
      </c>
      <c r="M2">
        <v>14</v>
      </c>
      <c r="N2">
        <v>428</v>
      </c>
      <c r="O2" s="1">
        <f t="shared" ref="O2:O5" si="3">M2+N2</f>
        <v>442</v>
      </c>
      <c r="P2" s="3">
        <f t="shared" ref="P2:P5" si="4">100*M2/O2</f>
        <v>3.1674208144796379</v>
      </c>
      <c r="Q2">
        <v>20</v>
      </c>
      <c r="R2" s="3">
        <f t="shared" ref="R2:R5" si="5">100*Q2/O2</f>
        <v>4.5248868778280542</v>
      </c>
      <c r="S2">
        <v>422</v>
      </c>
      <c r="T2">
        <v>0</v>
      </c>
      <c r="U2">
        <v>0</v>
      </c>
      <c r="V2">
        <v>19</v>
      </c>
      <c r="W2" s="3">
        <f t="shared" ref="W2:W5" si="6">100*V2/$O2</f>
        <v>4.2986425339366514</v>
      </c>
      <c r="X2">
        <v>222</v>
      </c>
      <c r="Y2" s="3">
        <f t="shared" ref="Y2:Y5" si="7">100*X2/$O2</f>
        <v>50.226244343891402</v>
      </c>
      <c r="Z2">
        <v>143</v>
      </c>
      <c r="AA2" s="3">
        <f t="shared" ref="AA2:AA5" si="8">100*Z2/$O2</f>
        <v>32.352941176470587</v>
      </c>
      <c r="AB2">
        <v>21</v>
      </c>
      <c r="AC2" s="3">
        <f t="shared" ref="AC2:AC5" si="9">100*AB2/$O2</f>
        <v>4.751131221719457</v>
      </c>
      <c r="AD2">
        <v>11</v>
      </c>
      <c r="AE2" s="3">
        <f t="shared" ref="AE2:AE5" si="10">100*AD2/$O2</f>
        <v>2.4886877828054299</v>
      </c>
      <c r="AF2">
        <v>6</v>
      </c>
      <c r="AG2" s="3">
        <f t="shared" ref="AG2:AG5" si="11">100*AF2/$O2</f>
        <v>1.3574660633484164</v>
      </c>
      <c r="AH2" t="s">
        <v>33</v>
      </c>
      <c r="AI2">
        <v>1</v>
      </c>
      <c r="AJ2" t="s">
        <v>202</v>
      </c>
    </row>
    <row r="3" spans="1:36" x14ac:dyDescent="0.4">
      <c r="A3">
        <v>3</v>
      </c>
      <c r="B3" s="4">
        <v>2689</v>
      </c>
      <c r="C3" t="s">
        <v>44</v>
      </c>
      <c r="D3">
        <v>1549</v>
      </c>
      <c r="E3">
        <f t="shared" si="0"/>
        <v>1549</v>
      </c>
      <c r="F3">
        <v>1500</v>
      </c>
      <c r="G3">
        <v>0</v>
      </c>
      <c r="H3">
        <v>338</v>
      </c>
      <c r="I3">
        <v>19</v>
      </c>
      <c r="J3" s="18">
        <f t="shared" si="1"/>
        <v>23.047127178825047</v>
      </c>
      <c r="K3" s="18">
        <f t="shared" si="2"/>
        <v>1.2265978050355069</v>
      </c>
      <c r="L3">
        <v>1143</v>
      </c>
      <c r="M3">
        <v>19</v>
      </c>
      <c r="N3">
        <v>338</v>
      </c>
      <c r="O3">
        <f t="shared" si="3"/>
        <v>357</v>
      </c>
      <c r="P3" s="18">
        <f t="shared" si="4"/>
        <v>5.322128851540616</v>
      </c>
      <c r="Q3">
        <v>12</v>
      </c>
      <c r="R3" s="18">
        <f t="shared" si="5"/>
        <v>3.3613445378151261</v>
      </c>
      <c r="S3">
        <v>345</v>
      </c>
      <c r="T3">
        <v>0</v>
      </c>
      <c r="U3">
        <v>0</v>
      </c>
      <c r="V3">
        <v>14</v>
      </c>
      <c r="W3" s="18">
        <f t="shared" si="6"/>
        <v>3.9215686274509802</v>
      </c>
      <c r="X3">
        <v>199</v>
      </c>
      <c r="Y3" s="18">
        <f t="shared" si="7"/>
        <v>55.742296918767508</v>
      </c>
      <c r="Z3">
        <v>80</v>
      </c>
      <c r="AA3" s="18">
        <f t="shared" si="8"/>
        <v>22.408963585434172</v>
      </c>
      <c r="AB3">
        <v>18</v>
      </c>
      <c r="AC3" s="18">
        <f t="shared" si="9"/>
        <v>5.0420168067226889</v>
      </c>
      <c r="AD3">
        <v>25</v>
      </c>
      <c r="AE3" s="18">
        <f t="shared" si="10"/>
        <v>7.0028011204481793</v>
      </c>
      <c r="AF3">
        <v>9</v>
      </c>
      <c r="AG3" s="18">
        <f t="shared" si="11"/>
        <v>2.5210084033613445</v>
      </c>
      <c r="AH3" t="s">
        <v>33</v>
      </c>
      <c r="AI3">
        <v>1</v>
      </c>
      <c r="AJ3" t="s">
        <v>200</v>
      </c>
    </row>
    <row r="4" spans="1:36" s="3" customFormat="1" x14ac:dyDescent="0.4">
      <c r="A4">
        <v>3</v>
      </c>
      <c r="B4" s="4">
        <v>2704</v>
      </c>
      <c r="C4" t="s">
        <v>45</v>
      </c>
      <c r="D4">
        <v>1257</v>
      </c>
      <c r="E4">
        <f t="shared" si="0"/>
        <v>1257</v>
      </c>
      <c r="F4">
        <v>1200</v>
      </c>
      <c r="G4">
        <v>0</v>
      </c>
      <c r="H4">
        <v>287</v>
      </c>
      <c r="I4">
        <v>68</v>
      </c>
      <c r="J4" s="18">
        <f t="shared" si="1"/>
        <v>28.241845664280032</v>
      </c>
      <c r="K4" s="18">
        <f t="shared" si="2"/>
        <v>5.4097056483691333</v>
      </c>
      <c r="L4">
        <v>845</v>
      </c>
      <c r="M4">
        <v>68</v>
      </c>
      <c r="N4">
        <v>286</v>
      </c>
      <c r="O4">
        <f t="shared" si="3"/>
        <v>354</v>
      </c>
      <c r="P4" s="18">
        <f t="shared" si="4"/>
        <v>19.209039548022599</v>
      </c>
      <c r="Q4">
        <v>9</v>
      </c>
      <c r="R4" s="18">
        <f t="shared" si="5"/>
        <v>2.5423728813559321</v>
      </c>
      <c r="S4">
        <v>345</v>
      </c>
      <c r="T4">
        <v>0</v>
      </c>
      <c r="U4">
        <v>0</v>
      </c>
      <c r="V4">
        <v>8</v>
      </c>
      <c r="W4" s="18">
        <f t="shared" si="6"/>
        <v>2.2598870056497176</v>
      </c>
      <c r="X4">
        <v>260</v>
      </c>
      <c r="Y4" s="18">
        <f t="shared" si="7"/>
        <v>73.44632768361582</v>
      </c>
      <c r="Z4">
        <v>49</v>
      </c>
      <c r="AA4" s="18">
        <f t="shared" si="8"/>
        <v>13.841807909604519</v>
      </c>
      <c r="AB4">
        <v>8</v>
      </c>
      <c r="AC4" s="18">
        <f t="shared" si="9"/>
        <v>2.2598870056497176</v>
      </c>
      <c r="AD4">
        <v>15</v>
      </c>
      <c r="AE4" s="18">
        <f t="shared" si="10"/>
        <v>4.2372881355932206</v>
      </c>
      <c r="AF4">
        <v>5</v>
      </c>
      <c r="AG4" s="18">
        <f t="shared" si="11"/>
        <v>1.4124293785310735</v>
      </c>
      <c r="AH4">
        <v>2017</v>
      </c>
      <c r="AI4">
        <v>1</v>
      </c>
      <c r="AJ4" t="s">
        <v>200</v>
      </c>
    </row>
    <row r="5" spans="1:36" x14ac:dyDescent="0.4">
      <c r="A5">
        <v>3</v>
      </c>
      <c r="B5" s="4">
        <v>2705</v>
      </c>
      <c r="C5" t="s">
        <v>46</v>
      </c>
      <c r="D5">
        <v>792</v>
      </c>
      <c r="E5">
        <f t="shared" si="0"/>
        <v>792</v>
      </c>
      <c r="F5">
        <v>800</v>
      </c>
      <c r="G5">
        <v>0</v>
      </c>
      <c r="H5">
        <v>206</v>
      </c>
      <c r="I5">
        <v>130</v>
      </c>
      <c r="J5" s="18">
        <f t="shared" si="1"/>
        <v>42.424242424242422</v>
      </c>
      <c r="K5" s="18">
        <f t="shared" si="2"/>
        <v>16.414141414141415</v>
      </c>
      <c r="L5">
        <v>464</v>
      </c>
      <c r="M5">
        <v>130</v>
      </c>
      <c r="N5">
        <v>206</v>
      </c>
      <c r="O5">
        <f t="shared" si="3"/>
        <v>336</v>
      </c>
      <c r="P5" s="18">
        <f t="shared" si="4"/>
        <v>38.69047619047619</v>
      </c>
      <c r="Q5">
        <v>12</v>
      </c>
      <c r="R5" s="18">
        <f t="shared" si="5"/>
        <v>3.5714285714285716</v>
      </c>
      <c r="S5">
        <v>324</v>
      </c>
      <c r="T5">
        <v>0</v>
      </c>
      <c r="U5">
        <v>0</v>
      </c>
      <c r="V5">
        <v>6</v>
      </c>
      <c r="W5" s="18">
        <f t="shared" si="6"/>
        <v>1.7857142857142858</v>
      </c>
      <c r="X5">
        <v>274</v>
      </c>
      <c r="Y5" s="18">
        <f t="shared" si="7"/>
        <v>81.547619047619051</v>
      </c>
      <c r="Z5">
        <v>26</v>
      </c>
      <c r="AA5" s="18">
        <f t="shared" si="8"/>
        <v>7.7380952380952381</v>
      </c>
      <c r="AB5">
        <v>7</v>
      </c>
      <c r="AC5" s="18">
        <f t="shared" si="9"/>
        <v>2.0833333333333335</v>
      </c>
      <c r="AD5">
        <v>6</v>
      </c>
      <c r="AE5" s="18">
        <f t="shared" si="10"/>
        <v>1.7857142857142858</v>
      </c>
      <c r="AF5">
        <v>5</v>
      </c>
      <c r="AG5" s="18">
        <f t="shared" si="11"/>
        <v>1.4880952380952381</v>
      </c>
      <c r="AH5" t="s">
        <v>33</v>
      </c>
      <c r="AI5">
        <v>1</v>
      </c>
      <c r="AJ5" t="s">
        <v>200</v>
      </c>
    </row>
    <row r="6" spans="1:36" x14ac:dyDescent="0.4">
      <c r="B6" s="1">
        <f>SUBTOTAL(103,Дума_партии347[УИК])</f>
        <v>4</v>
      </c>
      <c r="D6" s="1">
        <f>SUBTOTAL(109,Дума_партии347[Число избирателей, внесенных в список на момент окончания голосования])</f>
        <v>5366</v>
      </c>
      <c r="F6" s="1">
        <f>SUBTOTAL(109,Дума_партии347[Число бюллетеней, полученных участковой избирательной комиссией])</f>
        <v>5200</v>
      </c>
      <c r="G6" s="1">
        <f>SUBTOTAL(109,Дума_партии347[Число бюллетеней, выданных избирателям, проголосовавшим досрочно в помещении территориальной избирательной комиссии])</f>
        <v>0</v>
      </c>
      <c r="H6" s="1">
        <f>SUBTOTAL(109,Дума_партии347[Число бюллетеней, выданных избирателям, в помещении для голосования в день голосования])</f>
        <v>1259</v>
      </c>
      <c r="I6" s="1">
        <f>SUBTOTAL(109,Дума_партии347[Число бюллетеней, выданных избирателям, проголосовавшим вне помещения для голосования в день голосования])</f>
        <v>231</v>
      </c>
      <c r="J6" s="1"/>
      <c r="K6" s="1"/>
      <c r="L6" s="1">
        <f>SUBTOTAL(109,Дума_партии347[Число погашенных бюллетеней])</f>
        <v>3710</v>
      </c>
      <c r="M6" s="1">
        <f>SUBTOTAL(109,Дума_партии347[Число бюллетеней, содержащихся в переносных ящиках для голосования])</f>
        <v>231</v>
      </c>
      <c r="N6" s="1">
        <f>SUBTOTAL(109,Дума_партии347[Число бюллетеней, содержащихся в стационарных ящиках для голосования])</f>
        <v>1258</v>
      </c>
      <c r="O6" s="1">
        <f>SUBTOTAL(109,Дума_партии347[Обнаружено])</f>
        <v>1489</v>
      </c>
      <c r="P6" s="1"/>
      <c r="Q6" s="1">
        <f>SUBTOTAL(109,Дума_партии347[Число недействительных бюллетеней])</f>
        <v>53</v>
      </c>
      <c r="R6" s="1"/>
      <c r="S6" s="8">
        <f>SUBTOTAL(109,Дума_партии347[Число действительных бюллетеней])</f>
        <v>1436</v>
      </c>
      <c r="T6" s="1">
        <f>SUBTOTAL(109,Дума_партии347[Число утраченных бюллетеней])</f>
        <v>0</v>
      </c>
      <c r="U6" s="1">
        <f>SUBTOTAL(109,Дума_партии347[Число бюллетеней, не учтенных при получении])</f>
        <v>0</v>
      </c>
      <c r="V6" s="1">
        <f>SUBTOTAL(109,Дума_партии347[Бахтинов Андрей Александрович])</f>
        <v>47</v>
      </c>
      <c r="W6" s="1"/>
      <c r="X6" s="1">
        <f>SUBTOTAL(109,Дума_партии347[Бурмистенков Владимир Владимирович])</f>
        <v>955</v>
      </c>
      <c r="Y6" s="1"/>
      <c r="Z6" s="1">
        <f>SUBTOTAL(109,Дума_партии347[Васина Татьяна Алексеевна])</f>
        <v>298</v>
      </c>
      <c r="AA6" s="1"/>
      <c r="AB6" s="1">
        <f>SUBTOTAL(109,Дума_партии347[Голубев Николай Александрович])</f>
        <v>54</v>
      </c>
      <c r="AC6" s="1"/>
      <c r="AD6" s="1">
        <f>SUBTOTAL(109,Дума_партии347[Дедюжев Денис Игоревич])</f>
        <v>57</v>
      </c>
      <c r="AE6" s="1"/>
      <c r="AF6" s="1">
        <f>SUBTOTAL(109,Дума_партии347[Костроменков Александр Владимирович])</f>
        <v>25</v>
      </c>
      <c r="AG6" s="1"/>
      <c r="AH6" s="1">
        <f>SUBTOTAL(102,Дума_партии347[КОИБ])</f>
        <v>1</v>
      </c>
      <c r="AI6" s="1">
        <f>SUBTOTAL(102,Дума_партии347[Наблюдателей])</f>
        <v>4</v>
      </c>
    </row>
    <row r="7" spans="1:36" x14ac:dyDescent="0.4">
      <c r="A7" s="3"/>
      <c r="B7" s="3"/>
      <c r="C7" s="3"/>
      <c r="D7" s="3"/>
      <c r="E7" s="3"/>
      <c r="F7" s="3"/>
      <c r="G7" s="3"/>
      <c r="H7" s="3" t="s">
        <v>12</v>
      </c>
      <c r="I7" s="3">
        <f>100*(H6+I6)/D6</f>
        <v>27.767424524785689</v>
      </c>
      <c r="L7" s="3"/>
      <c r="M7" s="3"/>
      <c r="N7" s="3"/>
      <c r="O7" s="3"/>
      <c r="Q7" s="3"/>
      <c r="S7" s="3"/>
      <c r="T7" s="3"/>
      <c r="U7" s="3"/>
      <c r="V7" s="3">
        <f>100*V6/$O6</f>
        <v>3.1564808596373406</v>
      </c>
      <c r="X7" s="3">
        <f>100*X6/$O6</f>
        <v>64.137004701141706</v>
      </c>
      <c r="Z7" s="3">
        <f>100*Z6/$O6</f>
        <v>20.013431833445264</v>
      </c>
      <c r="AB7" s="3">
        <f>100*AB6/$O6</f>
        <v>3.6265950302216252</v>
      </c>
      <c r="AD7" s="3">
        <f>100*AD6/$O6</f>
        <v>3.8280725319006046</v>
      </c>
      <c r="AF7" s="3">
        <f>100*AF6/$O6</f>
        <v>1.6789791806581598</v>
      </c>
      <c r="AH7" s="3"/>
    </row>
    <row r="8" spans="1:36" x14ac:dyDescent="0.4">
      <c r="A8" s="3"/>
      <c r="B8" s="3"/>
      <c r="C8" s="3"/>
      <c r="D8" s="3"/>
      <c r="E8" s="3"/>
      <c r="F8" s="3"/>
      <c r="G8" s="3"/>
      <c r="H8" s="3"/>
      <c r="I8" s="3"/>
      <c r="L8" s="3"/>
      <c r="M8" s="3"/>
      <c r="N8" s="3"/>
      <c r="O8" s="3"/>
      <c r="Q8" s="3"/>
      <c r="S8" s="3"/>
      <c r="T8" s="3"/>
      <c r="U8" s="3"/>
      <c r="V8" s="3"/>
      <c r="X8" s="3"/>
      <c r="Z8" s="3"/>
      <c r="AB8" s="3"/>
      <c r="AH8" s="3"/>
      <c r="AI8" s="3"/>
    </row>
    <row r="24" spans="22:25" x14ac:dyDescent="0.4">
      <c r="W24" s="1"/>
    </row>
    <row r="25" spans="22:25" x14ac:dyDescent="0.4">
      <c r="V25" s="3"/>
      <c r="W25" s="9"/>
    </row>
    <row r="26" spans="22:25" x14ac:dyDescent="0.4">
      <c r="W26" s="5"/>
      <c r="Y26" s="5"/>
    </row>
    <row r="27" spans="22:25" x14ac:dyDescent="0.4">
      <c r="V27" s="3"/>
      <c r="W27" s="9"/>
    </row>
    <row r="28" spans="22:25" x14ac:dyDescent="0.4">
      <c r="V28" s="3"/>
      <c r="W28" s="1"/>
    </row>
    <row r="29" spans="22:25" x14ac:dyDescent="0.4">
      <c r="V29" s="3"/>
      <c r="W29" s="1"/>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3"/>
      <c r="W41" s="1"/>
    </row>
    <row r="42" spans="22:23" x14ac:dyDescent="0.4">
      <c r="V42" s="3"/>
      <c r="W42" s="1"/>
    </row>
    <row r="43" spans="22:23" x14ac:dyDescent="0.4">
      <c r="V43" s="1" t="s">
        <v>83</v>
      </c>
      <c r="W43" s="1"/>
    </row>
    <row r="44" spans="22:23" x14ac:dyDescent="0.4">
      <c r="V44" s="1">
        <f>MAX(Дума_партии[Вес участка])*2</f>
        <v>5646</v>
      </c>
      <c r="W44" s="1"/>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209E1-E3EF-4143-9725-801F6D40F8FE}">
  <dimension ref="A1:AN43"/>
  <sheetViews>
    <sheetView zoomScale="70" zoomScaleNormal="70" workbookViewId="0">
      <pane ySplit="1" topLeftCell="A2" activePane="bottomLeft" state="frozen"/>
      <selection pane="bottomLeft" activeCell="X11" sqref="X11"/>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33" width="6.23046875" style="3" customWidth="1"/>
    <col min="34" max="34" width="6.23046875" style="1" customWidth="1"/>
    <col min="35" max="35" width="6.23046875" style="3" customWidth="1"/>
    <col min="36" max="36" width="6.23046875" style="1" customWidth="1"/>
    <col min="37" max="37" width="6.23046875" style="3" customWidth="1"/>
    <col min="38" max="38" width="6.23046875" style="1" customWidth="1"/>
    <col min="39" max="39" width="6.53515625" style="6" customWidth="1"/>
    <col min="40" max="40" width="19.3828125" style="1" customWidth="1"/>
    <col min="41" max="16384" width="9.23046875" style="1"/>
  </cols>
  <sheetData>
    <row r="1" spans="1:40"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7" t="s">
        <v>84</v>
      </c>
      <c r="W1" s="14" t="s">
        <v>92</v>
      </c>
      <c r="X1" s="17" t="s">
        <v>85</v>
      </c>
      <c r="Y1" s="14" t="s">
        <v>93</v>
      </c>
      <c r="Z1" s="11" t="s">
        <v>86</v>
      </c>
      <c r="AA1" s="14" t="s">
        <v>94</v>
      </c>
      <c r="AB1" s="11" t="s">
        <v>87</v>
      </c>
      <c r="AC1" s="14" t="s">
        <v>95</v>
      </c>
      <c r="AD1" s="17" t="s">
        <v>88</v>
      </c>
      <c r="AE1" s="14" t="s">
        <v>96</v>
      </c>
      <c r="AF1" s="11" t="s">
        <v>89</v>
      </c>
      <c r="AG1" s="14" t="s">
        <v>97</v>
      </c>
      <c r="AH1" s="17" t="s">
        <v>90</v>
      </c>
      <c r="AI1" s="14" t="s">
        <v>98</v>
      </c>
      <c r="AJ1" s="11" t="s">
        <v>91</v>
      </c>
      <c r="AK1" s="14" t="s">
        <v>99</v>
      </c>
      <c r="AL1" s="15" t="s">
        <v>32</v>
      </c>
      <c r="AM1" s="25" t="s">
        <v>23</v>
      </c>
      <c r="AN1" s="25" t="s">
        <v>205</v>
      </c>
    </row>
    <row r="2" spans="1:40" x14ac:dyDescent="0.4">
      <c r="A2">
        <v>4</v>
      </c>
      <c r="B2" s="4">
        <v>2685</v>
      </c>
      <c r="C2" s="10" t="s">
        <v>44</v>
      </c>
      <c r="D2">
        <v>2445</v>
      </c>
      <c r="E2" s="1">
        <f t="shared" ref="E2:E4" si="0">D2</f>
        <v>2445</v>
      </c>
      <c r="F2">
        <v>2400</v>
      </c>
      <c r="G2">
        <v>0</v>
      </c>
      <c r="H2">
        <v>739</v>
      </c>
      <c r="I2">
        <v>7</v>
      </c>
      <c r="J2" s="3">
        <f t="shared" ref="J2:J4" si="1">100*(H2+I2)/D2</f>
        <v>30.51124744376278</v>
      </c>
      <c r="K2" s="3">
        <f t="shared" ref="K2:K4" si="2">100*I2/D2</f>
        <v>0.28629856850715746</v>
      </c>
      <c r="L2">
        <v>1654</v>
      </c>
      <c r="M2">
        <v>7</v>
      </c>
      <c r="N2">
        <v>739</v>
      </c>
      <c r="O2" s="1">
        <f t="shared" ref="O2:O4" si="3">M2+N2</f>
        <v>746</v>
      </c>
      <c r="P2" s="3">
        <f t="shared" ref="P2:P4" si="4">100*M2/O2</f>
        <v>0.93833780160857905</v>
      </c>
      <c r="Q2">
        <v>37</v>
      </c>
      <c r="R2" s="3">
        <f t="shared" ref="R2:R4" si="5">100*Q2/O2</f>
        <v>4.9597855227882039</v>
      </c>
      <c r="S2">
        <v>709</v>
      </c>
      <c r="T2">
        <v>0</v>
      </c>
      <c r="U2">
        <v>0</v>
      </c>
      <c r="V2">
        <v>530</v>
      </c>
      <c r="W2" s="3">
        <f t="shared" ref="W2:W4" si="6">100*V2/$O2</f>
        <v>71.045576407506701</v>
      </c>
      <c r="X2">
        <v>12</v>
      </c>
      <c r="Y2" s="3">
        <f t="shared" ref="Y2:Y4" si="7">100*X2/$O2</f>
        <v>1.6085790884718498</v>
      </c>
      <c r="Z2">
        <v>26</v>
      </c>
      <c r="AA2" s="3">
        <f t="shared" ref="AA2:AA4" si="8">100*Z2/$O2</f>
        <v>3.4852546916890081</v>
      </c>
      <c r="AB2">
        <v>62</v>
      </c>
      <c r="AC2" s="3">
        <f t="shared" ref="AC2:AC4" si="9">100*AB2/$O2</f>
        <v>8.310991957104557</v>
      </c>
      <c r="AD2">
        <v>13</v>
      </c>
      <c r="AE2" s="3">
        <f t="shared" ref="AE2:AE4" si="10">100*AD2/$O2</f>
        <v>1.7426273458445041</v>
      </c>
      <c r="AF2">
        <v>48</v>
      </c>
      <c r="AG2" s="3">
        <f t="shared" ref="AG2:AG4" si="11">100*AF2/$O2</f>
        <v>6.4343163538873993</v>
      </c>
      <c r="AH2">
        <v>13</v>
      </c>
      <c r="AI2" s="3">
        <f t="shared" ref="AI2:AI4" si="12">100*AH2/$O2</f>
        <v>1.7426273458445041</v>
      </c>
      <c r="AJ2">
        <v>5</v>
      </c>
      <c r="AK2" s="3">
        <f t="shared" ref="AK2:AK4" si="13">100*AJ2/$O2</f>
        <v>0.67024128686327078</v>
      </c>
      <c r="AL2" t="s">
        <v>33</v>
      </c>
      <c r="AM2">
        <v>3</v>
      </c>
      <c r="AN2" t="s">
        <v>200</v>
      </c>
    </row>
    <row r="3" spans="1:40" x14ac:dyDescent="0.4">
      <c r="A3">
        <v>4</v>
      </c>
      <c r="B3" s="4">
        <v>2686</v>
      </c>
      <c r="C3" s="10" t="s">
        <v>44</v>
      </c>
      <c r="D3">
        <v>1999</v>
      </c>
      <c r="E3">
        <f t="shared" si="0"/>
        <v>1999</v>
      </c>
      <c r="F3">
        <v>2000</v>
      </c>
      <c r="G3">
        <v>0</v>
      </c>
      <c r="H3">
        <v>435</v>
      </c>
      <c r="I3">
        <v>14</v>
      </c>
      <c r="J3" s="18">
        <f t="shared" si="1"/>
        <v>22.461230615307652</v>
      </c>
      <c r="K3" s="18">
        <f t="shared" si="2"/>
        <v>0.70035017508754382</v>
      </c>
      <c r="L3">
        <v>1551</v>
      </c>
      <c r="M3">
        <v>14</v>
      </c>
      <c r="N3">
        <v>435</v>
      </c>
      <c r="O3">
        <f t="shared" si="3"/>
        <v>449</v>
      </c>
      <c r="P3" s="18">
        <f t="shared" si="4"/>
        <v>3.1180400890868598</v>
      </c>
      <c r="Q3">
        <v>20</v>
      </c>
      <c r="R3" s="18">
        <f t="shared" si="5"/>
        <v>4.4543429844097995</v>
      </c>
      <c r="S3">
        <v>429</v>
      </c>
      <c r="T3">
        <v>0</v>
      </c>
      <c r="U3">
        <v>0</v>
      </c>
      <c r="V3">
        <v>299</v>
      </c>
      <c r="W3" s="18">
        <f t="shared" si="6"/>
        <v>66.5924276169265</v>
      </c>
      <c r="X3">
        <v>40</v>
      </c>
      <c r="Y3" s="18">
        <f t="shared" si="7"/>
        <v>8.908685968819599</v>
      </c>
      <c r="Z3">
        <v>8</v>
      </c>
      <c r="AA3" s="18">
        <f t="shared" si="8"/>
        <v>1.7817371937639199</v>
      </c>
      <c r="AB3">
        <v>8</v>
      </c>
      <c r="AC3" s="18">
        <f t="shared" si="9"/>
        <v>1.7817371937639199</v>
      </c>
      <c r="AD3">
        <v>11</v>
      </c>
      <c r="AE3" s="18">
        <f t="shared" si="10"/>
        <v>2.4498886414253898</v>
      </c>
      <c r="AF3">
        <v>29</v>
      </c>
      <c r="AG3" s="18">
        <f t="shared" si="11"/>
        <v>6.4587973273942092</v>
      </c>
      <c r="AH3">
        <v>8</v>
      </c>
      <c r="AI3" s="18">
        <f t="shared" si="12"/>
        <v>1.7817371937639199</v>
      </c>
      <c r="AJ3">
        <v>26</v>
      </c>
      <c r="AK3" s="18">
        <f t="shared" si="13"/>
        <v>5.7906458797327396</v>
      </c>
      <c r="AL3" t="s">
        <v>33</v>
      </c>
      <c r="AM3">
        <v>1</v>
      </c>
      <c r="AN3" t="s">
        <v>200</v>
      </c>
    </row>
    <row r="4" spans="1:40" s="3" customFormat="1" x14ac:dyDescent="0.4">
      <c r="A4">
        <v>4</v>
      </c>
      <c r="B4" s="4">
        <v>2687</v>
      </c>
      <c r="C4" s="10" t="s">
        <v>44</v>
      </c>
      <c r="D4">
        <v>1100</v>
      </c>
      <c r="E4">
        <f t="shared" si="0"/>
        <v>1100</v>
      </c>
      <c r="F4">
        <v>1100</v>
      </c>
      <c r="G4">
        <v>0</v>
      </c>
      <c r="H4">
        <v>290</v>
      </c>
      <c r="I4">
        <v>7</v>
      </c>
      <c r="J4" s="18">
        <f t="shared" si="1"/>
        <v>27</v>
      </c>
      <c r="K4" s="18">
        <f t="shared" si="2"/>
        <v>0.63636363636363635</v>
      </c>
      <c r="L4">
        <v>803</v>
      </c>
      <c r="M4">
        <v>7</v>
      </c>
      <c r="N4">
        <v>290</v>
      </c>
      <c r="O4">
        <f t="shared" si="3"/>
        <v>297</v>
      </c>
      <c r="P4" s="18">
        <f t="shared" si="4"/>
        <v>2.3569023569023568</v>
      </c>
      <c r="Q4">
        <v>2</v>
      </c>
      <c r="R4" s="18">
        <f t="shared" si="5"/>
        <v>0.67340067340067344</v>
      </c>
      <c r="S4">
        <v>295</v>
      </c>
      <c r="T4">
        <v>0</v>
      </c>
      <c r="U4">
        <v>0</v>
      </c>
      <c r="V4">
        <v>231</v>
      </c>
      <c r="W4" s="18">
        <f t="shared" si="6"/>
        <v>77.777777777777771</v>
      </c>
      <c r="X4">
        <v>17</v>
      </c>
      <c r="Y4" s="18">
        <f t="shared" si="7"/>
        <v>5.7239057239057241</v>
      </c>
      <c r="Z4">
        <v>2</v>
      </c>
      <c r="AA4" s="18">
        <f t="shared" si="8"/>
        <v>0.67340067340067344</v>
      </c>
      <c r="AB4">
        <v>8</v>
      </c>
      <c r="AC4" s="18">
        <f t="shared" si="9"/>
        <v>2.6936026936026938</v>
      </c>
      <c r="AD4">
        <v>8</v>
      </c>
      <c r="AE4" s="18">
        <f t="shared" si="10"/>
        <v>2.6936026936026938</v>
      </c>
      <c r="AF4">
        <v>16</v>
      </c>
      <c r="AG4" s="18">
        <f t="shared" si="11"/>
        <v>5.3872053872053876</v>
      </c>
      <c r="AH4">
        <v>1</v>
      </c>
      <c r="AI4" s="18">
        <f t="shared" si="12"/>
        <v>0.33670033670033672</v>
      </c>
      <c r="AJ4">
        <v>12</v>
      </c>
      <c r="AK4" s="18">
        <f t="shared" si="13"/>
        <v>4.0404040404040407</v>
      </c>
      <c r="AL4" t="s">
        <v>33</v>
      </c>
      <c r="AM4">
        <v>1</v>
      </c>
      <c r="AN4" t="s">
        <v>200</v>
      </c>
    </row>
    <row r="5" spans="1:40" x14ac:dyDescent="0.4">
      <c r="B5" s="1">
        <f>SUBTOTAL(103,Дума_партии34[УИК])</f>
        <v>3</v>
      </c>
      <c r="D5" s="1">
        <f>SUBTOTAL(109,Дума_партии34[Число избирателей, внесенных в список на момент окончания голосования])</f>
        <v>5544</v>
      </c>
      <c r="F5" s="1">
        <f>SUBTOTAL(109,Дума_партии34[Число бюллетеней, полученных участковой избирательной комиссией])</f>
        <v>5500</v>
      </c>
      <c r="G5" s="1">
        <f>SUBTOTAL(109,Дума_партии34[Число бюллетеней, выданных избирателям, проголосовавшим досрочно в помещении территориальной избирательной комиссии])</f>
        <v>0</v>
      </c>
      <c r="H5" s="1">
        <f>SUBTOTAL(109,Дума_партии34[Число бюллетеней, выданных избирателям, в помещении для голосования в день голосования])</f>
        <v>1464</v>
      </c>
      <c r="I5" s="1">
        <f>SUBTOTAL(109,Дума_партии34[Число бюллетеней, выданных избирателям, проголосовавшим вне помещения для голосования в день голосования])</f>
        <v>28</v>
      </c>
      <c r="J5" s="1"/>
      <c r="K5" s="1"/>
      <c r="L5" s="1">
        <f>SUBTOTAL(109,Дума_партии34[Число погашенных бюллетеней])</f>
        <v>4008</v>
      </c>
      <c r="M5" s="1">
        <f>SUBTOTAL(109,Дума_партии34[Число бюллетеней, содержащихся в переносных ящиках для голосования])</f>
        <v>28</v>
      </c>
      <c r="N5" s="1">
        <f>SUBTOTAL(109,Дума_партии34[Число бюллетеней, содержащихся в стационарных ящиках для голосования])</f>
        <v>1464</v>
      </c>
      <c r="O5" s="1">
        <f>SUBTOTAL(109,Дума_партии34[Обнаружено])</f>
        <v>1492</v>
      </c>
      <c r="P5" s="1"/>
      <c r="Q5" s="1">
        <f>SUBTOTAL(109,Дума_партии34[Число недействительных бюллетеней])</f>
        <v>59</v>
      </c>
      <c r="R5" s="1"/>
      <c r="S5" s="8">
        <f>SUBTOTAL(109,Дума_партии34[Число действительных бюллетеней])</f>
        <v>1433</v>
      </c>
      <c r="T5" s="1">
        <f>SUBTOTAL(109,Дума_партии34[Число утраченных бюллетеней])</f>
        <v>0</v>
      </c>
      <c r="U5" s="1">
        <f>SUBTOTAL(109,Дума_партии34[Число бюллетеней, не учтенных при получении])</f>
        <v>0</v>
      </c>
      <c r="V5" s="1">
        <f>SUBTOTAL(109,Дума_партии34[Анищенков Николай Леонидович])</f>
        <v>1060</v>
      </c>
      <c r="W5" s="1"/>
      <c r="X5" s="1">
        <f>SUBTOTAL(109,Дума_партии34[Власов Олег Яковлевич])</f>
        <v>69</v>
      </c>
      <c r="Y5" s="1"/>
      <c r="Z5" s="1">
        <f>SUBTOTAL(109,Дума_партии34[Ганин Сергей Александрович])</f>
        <v>36</v>
      </c>
      <c r="AA5" s="1"/>
      <c r="AB5" s="1">
        <f>SUBTOTAL(109,Дума_партии34[Доронина Елена Геннадьевна])</f>
        <v>78</v>
      </c>
      <c r="AC5" s="1"/>
      <c r="AD5" s="1">
        <f>SUBTOTAL(109,Дума_партии34[Калтайс Александр Валерьевич])</f>
        <v>32</v>
      </c>
      <c r="AE5" s="1"/>
      <c r="AF5" s="1">
        <f>SUBTOTAL(109,Дума_партии34[Коротков Андрей Викторович])</f>
        <v>93</v>
      </c>
      <c r="AG5" s="1"/>
      <c r="AH5" s="1">
        <f>SUBTOTAL(109,Дума_партии34[Михайлов Вадим Геннадьевич])</f>
        <v>22</v>
      </c>
      <c r="AI5" s="1"/>
      <c r="AJ5" s="1">
        <f>SUBTOTAL(109,Дума_партии34[Хохлов Сергей Алексеевич])</f>
        <v>43</v>
      </c>
      <c r="AK5" s="1"/>
      <c r="AL5" s="1">
        <f>SUBTOTAL(102,Дума_партии34[КОИБ])</f>
        <v>0</v>
      </c>
      <c r="AM5" s="1">
        <f>SUBTOTAL(102,Дума_партии34[Наблюдателей])</f>
        <v>3</v>
      </c>
    </row>
    <row r="6" spans="1:40" x14ac:dyDescent="0.4">
      <c r="A6" s="3"/>
      <c r="B6" s="3"/>
      <c r="C6" s="3"/>
      <c r="D6" s="3"/>
      <c r="E6" s="3"/>
      <c r="F6" s="3"/>
      <c r="G6" s="3"/>
      <c r="H6" s="3" t="s">
        <v>12</v>
      </c>
      <c r="I6" s="3">
        <f>100*(H5+I5)/D5</f>
        <v>26.911976911976911</v>
      </c>
      <c r="L6" s="3"/>
      <c r="M6" s="3"/>
      <c r="N6" s="3"/>
      <c r="O6" s="3"/>
      <c r="Q6" s="3"/>
      <c r="S6" s="3"/>
      <c r="T6" s="3"/>
      <c r="U6" s="3"/>
      <c r="V6" s="3">
        <f>100*V5/$O5</f>
        <v>71.045576407506701</v>
      </c>
      <c r="X6" s="3">
        <f>100*X5/$O5</f>
        <v>4.6246648793565681</v>
      </c>
      <c r="Z6" s="3">
        <f>100*Z5/$O5</f>
        <v>2.4128686327077746</v>
      </c>
      <c r="AB6" s="3">
        <f>100*AB5/$O5</f>
        <v>5.2278820375335124</v>
      </c>
      <c r="AD6" s="3">
        <f>100*AD5/$O5</f>
        <v>2.1447721179624666</v>
      </c>
      <c r="AF6" s="3">
        <f>100*AF5/$O5</f>
        <v>6.2332439678284182</v>
      </c>
      <c r="AH6" s="3">
        <f>100*AH5/$O5</f>
        <v>1.4745308310991958</v>
      </c>
      <c r="AJ6" s="3">
        <f>100*AJ5/$O5</f>
        <v>2.8820375335120643</v>
      </c>
      <c r="AL6" s="3"/>
    </row>
    <row r="7" spans="1:40" x14ac:dyDescent="0.4">
      <c r="A7" s="3"/>
      <c r="B7" s="3"/>
      <c r="C7" s="3"/>
      <c r="D7" s="3"/>
      <c r="E7" s="3"/>
      <c r="F7" s="3"/>
      <c r="G7" s="3"/>
      <c r="H7" s="3"/>
      <c r="I7" s="3"/>
      <c r="L7" s="3"/>
      <c r="M7" s="3"/>
      <c r="N7" s="3"/>
      <c r="O7" s="3"/>
      <c r="Q7" s="3"/>
      <c r="S7" s="3"/>
      <c r="T7" s="3"/>
      <c r="U7" s="3"/>
      <c r="V7" s="3"/>
      <c r="X7" s="3"/>
      <c r="Z7" s="3"/>
      <c r="AB7" s="3"/>
      <c r="AH7" s="3"/>
      <c r="AJ7" s="3"/>
      <c r="AL7" s="3"/>
      <c r="AM7" s="3"/>
    </row>
    <row r="23" spans="22:25" x14ac:dyDescent="0.4">
      <c r="W23" s="1"/>
    </row>
    <row r="24" spans="22:25" x14ac:dyDescent="0.4">
      <c r="V24" s="3"/>
      <c r="W24" s="9"/>
    </row>
    <row r="25" spans="22:25" x14ac:dyDescent="0.4">
      <c r="W25" s="5"/>
      <c r="Y25" s="5"/>
    </row>
    <row r="26" spans="22:25" x14ac:dyDescent="0.4">
      <c r="V26" s="3"/>
      <c r="W26" s="9"/>
    </row>
    <row r="27" spans="22:25" x14ac:dyDescent="0.4">
      <c r="V27" s="3"/>
      <c r="W27" s="1"/>
    </row>
    <row r="28" spans="22:25" x14ac:dyDescent="0.4">
      <c r="V28" s="3"/>
      <c r="W28" s="1"/>
    </row>
    <row r="29" spans="22:25" x14ac:dyDescent="0.4">
      <c r="V29" s="3"/>
      <c r="W29" s="1"/>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3"/>
      <c r="W41" s="1"/>
    </row>
    <row r="42" spans="22:23" x14ac:dyDescent="0.4">
      <c r="V42" s="1" t="s">
        <v>83</v>
      </c>
      <c r="W42" s="1"/>
    </row>
    <row r="43" spans="22:23" x14ac:dyDescent="0.4">
      <c r="V43" s="1">
        <f>MAX(Дума_партии[Вес участка])*2</f>
        <v>5646</v>
      </c>
      <c r="W43" s="1"/>
    </row>
  </sheetData>
  <phoneticPr fontId="3" type="noConversion"/>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AA161-B28C-48E8-A40E-3BE876AB690B}">
  <dimension ref="A1:AJ44"/>
  <sheetViews>
    <sheetView zoomScale="70" zoomScaleNormal="70" workbookViewId="0">
      <pane ySplit="1" topLeftCell="A2" activePane="bottomLeft" state="frozen"/>
      <selection pane="bottomLeft" activeCell="W11" sqref="W11"/>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33" width="6.23046875" style="3" customWidth="1"/>
    <col min="34" max="34" width="6.23046875" style="1" customWidth="1"/>
    <col min="35" max="35" width="6.53515625" style="6" customWidth="1"/>
    <col min="36" max="36" width="19.3828125" style="1" customWidth="1"/>
    <col min="37" max="16384" width="9.23046875" style="1"/>
  </cols>
  <sheetData>
    <row r="1" spans="1:36"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7" t="s">
        <v>122</v>
      </c>
      <c r="W1" s="14" t="s">
        <v>129</v>
      </c>
      <c r="X1" s="17" t="s">
        <v>123</v>
      </c>
      <c r="Y1" s="14" t="s">
        <v>130</v>
      </c>
      <c r="Z1" s="11" t="s">
        <v>124</v>
      </c>
      <c r="AA1" s="14" t="s">
        <v>131</v>
      </c>
      <c r="AB1" s="11" t="s">
        <v>125</v>
      </c>
      <c r="AC1" s="14" t="s">
        <v>132</v>
      </c>
      <c r="AD1" s="17" t="s">
        <v>126</v>
      </c>
      <c r="AE1" s="14" t="s">
        <v>127</v>
      </c>
      <c r="AF1" s="11" t="s">
        <v>128</v>
      </c>
      <c r="AG1" s="14" t="s">
        <v>133</v>
      </c>
      <c r="AH1" s="15" t="s">
        <v>32</v>
      </c>
      <c r="AI1" s="25" t="s">
        <v>23</v>
      </c>
      <c r="AJ1" s="25" t="s">
        <v>205</v>
      </c>
    </row>
    <row r="2" spans="1:36" x14ac:dyDescent="0.4">
      <c r="A2">
        <v>5</v>
      </c>
      <c r="B2" s="4">
        <v>2688</v>
      </c>
      <c r="C2" s="10" t="s">
        <v>44</v>
      </c>
      <c r="D2">
        <v>1775</v>
      </c>
      <c r="E2" s="1">
        <f t="shared" ref="E2" si="0">D2</f>
        <v>1775</v>
      </c>
      <c r="F2">
        <v>1700</v>
      </c>
      <c r="G2">
        <v>0</v>
      </c>
      <c r="H2">
        <v>504</v>
      </c>
      <c r="I2">
        <v>26</v>
      </c>
      <c r="J2" s="3">
        <f t="shared" ref="J2" si="1">100*(H2+I2)/D2</f>
        <v>29.859154929577464</v>
      </c>
      <c r="K2" s="3">
        <f t="shared" ref="K2" si="2">100*I2/D2</f>
        <v>1.4647887323943662</v>
      </c>
      <c r="L2">
        <v>1170</v>
      </c>
      <c r="M2">
        <v>26</v>
      </c>
      <c r="N2">
        <v>504</v>
      </c>
      <c r="O2" s="1">
        <f t="shared" ref="O2" si="3">M2+N2</f>
        <v>530</v>
      </c>
      <c r="P2" s="3">
        <f t="shared" ref="P2" si="4">100*M2/O2</f>
        <v>4.9056603773584904</v>
      </c>
      <c r="Q2">
        <v>14</v>
      </c>
      <c r="R2" s="3">
        <f t="shared" ref="R2" si="5">100*Q2/O2</f>
        <v>2.641509433962264</v>
      </c>
      <c r="S2">
        <v>516</v>
      </c>
      <c r="T2">
        <v>0</v>
      </c>
      <c r="U2">
        <v>0</v>
      </c>
      <c r="V2">
        <v>388</v>
      </c>
      <c r="W2" s="3">
        <f t="shared" ref="W2" si="6">100*V2/$O2</f>
        <v>73.20754716981132</v>
      </c>
      <c r="X2">
        <v>65</v>
      </c>
      <c r="Y2" s="3">
        <f t="shared" ref="Y2" si="7">100*X2/$O2</f>
        <v>12.264150943396226</v>
      </c>
      <c r="Z2">
        <v>23</v>
      </c>
      <c r="AA2" s="3">
        <f t="shared" ref="AA2" si="8">100*Z2/$O2</f>
        <v>4.3396226415094343</v>
      </c>
      <c r="AB2">
        <v>4</v>
      </c>
      <c r="AC2" s="3">
        <f t="shared" ref="AC2" si="9">100*AB2/$O2</f>
        <v>0.75471698113207553</v>
      </c>
      <c r="AD2">
        <v>16</v>
      </c>
      <c r="AE2" s="3">
        <f t="shared" ref="AE2" si="10">100*AD2/$O2</f>
        <v>3.0188679245283021</v>
      </c>
      <c r="AF2">
        <v>20</v>
      </c>
      <c r="AG2" s="3">
        <f t="shared" ref="AG2" si="11">100*AF2/$O2</f>
        <v>3.7735849056603774</v>
      </c>
      <c r="AH2" t="s">
        <v>33</v>
      </c>
      <c r="AI2">
        <v>1</v>
      </c>
      <c r="AJ2" t="s">
        <v>200</v>
      </c>
    </row>
    <row r="3" spans="1:36" x14ac:dyDescent="0.4">
      <c r="A3">
        <v>5</v>
      </c>
      <c r="B3" s="4">
        <v>2690</v>
      </c>
      <c r="C3" t="s">
        <v>47</v>
      </c>
      <c r="D3">
        <v>584</v>
      </c>
      <c r="E3">
        <f>D3</f>
        <v>584</v>
      </c>
      <c r="F3">
        <v>580</v>
      </c>
      <c r="G3">
        <v>0</v>
      </c>
      <c r="H3">
        <v>100</v>
      </c>
      <c r="I3">
        <v>51</v>
      </c>
      <c r="J3" s="18">
        <f>100*(H3+I3)/D3</f>
        <v>25.856164383561644</v>
      </c>
      <c r="K3" s="18">
        <f>100*I3/D3</f>
        <v>8.7328767123287676</v>
      </c>
      <c r="L3">
        <v>429</v>
      </c>
      <c r="M3">
        <v>51</v>
      </c>
      <c r="N3">
        <v>100</v>
      </c>
      <c r="O3">
        <f>M3+N3</f>
        <v>151</v>
      </c>
      <c r="P3" s="18">
        <f>100*M3/O3</f>
        <v>33.774834437086092</v>
      </c>
      <c r="Q3">
        <v>5</v>
      </c>
      <c r="R3" s="18">
        <f>100*Q3/O3</f>
        <v>3.3112582781456954</v>
      </c>
      <c r="S3">
        <v>146</v>
      </c>
      <c r="T3">
        <v>0</v>
      </c>
      <c r="U3">
        <v>0</v>
      </c>
      <c r="V3">
        <v>114</v>
      </c>
      <c r="W3" s="18">
        <f>100*V3/$O3</f>
        <v>75.496688741721854</v>
      </c>
      <c r="X3">
        <v>14</v>
      </c>
      <c r="Y3" s="18">
        <f>100*X3/$O3</f>
        <v>9.2715231788079464</v>
      </c>
      <c r="Z3">
        <v>2</v>
      </c>
      <c r="AA3" s="18">
        <f>100*Z3/$O3</f>
        <v>1.3245033112582782</v>
      </c>
      <c r="AB3">
        <v>1</v>
      </c>
      <c r="AC3" s="18">
        <f>100*AB3/$O3</f>
        <v>0.66225165562913912</v>
      </c>
      <c r="AD3" s="18">
        <v>5</v>
      </c>
      <c r="AE3" s="18">
        <f>100*AD3/$O3</f>
        <v>3.3112582781456954</v>
      </c>
      <c r="AF3">
        <v>10</v>
      </c>
      <c r="AG3" s="18">
        <f>100*AF3/$O3</f>
        <v>6.6225165562913908</v>
      </c>
      <c r="AH3">
        <v>2017</v>
      </c>
      <c r="AI3">
        <v>1</v>
      </c>
      <c r="AJ3" t="s">
        <v>200</v>
      </c>
    </row>
    <row r="4" spans="1:36" s="3" customFormat="1" x14ac:dyDescent="0.4">
      <c r="A4">
        <v>5</v>
      </c>
      <c r="B4" s="4">
        <v>2716</v>
      </c>
      <c r="C4" t="s">
        <v>48</v>
      </c>
      <c r="D4">
        <v>1403</v>
      </c>
      <c r="E4">
        <f t="shared" ref="E4:E5" si="12">D4</f>
        <v>1403</v>
      </c>
      <c r="F4">
        <v>1400</v>
      </c>
      <c r="G4">
        <v>0</v>
      </c>
      <c r="H4">
        <v>197</v>
      </c>
      <c r="I4">
        <v>13</v>
      </c>
      <c r="J4" s="18">
        <f t="shared" ref="J4:J5" si="13">100*(H4+I4)/D4</f>
        <v>14.96792587312901</v>
      </c>
      <c r="K4" s="18">
        <f t="shared" ref="K4:K5" si="14">100*I4/D4</f>
        <v>0.9265858873841768</v>
      </c>
      <c r="L4">
        <v>1190</v>
      </c>
      <c r="M4">
        <v>13</v>
      </c>
      <c r="N4">
        <v>197</v>
      </c>
      <c r="O4">
        <f t="shared" ref="O4:O5" si="15">M4+N4</f>
        <v>210</v>
      </c>
      <c r="P4" s="18">
        <f t="shared" ref="P4:P5" si="16">100*M4/O4</f>
        <v>6.1904761904761907</v>
      </c>
      <c r="Q4">
        <v>9</v>
      </c>
      <c r="R4" s="18">
        <f t="shared" ref="R4:R5" si="17">100*Q4/O4</f>
        <v>4.2857142857142856</v>
      </c>
      <c r="S4">
        <v>201</v>
      </c>
      <c r="T4">
        <v>0</v>
      </c>
      <c r="U4">
        <v>0</v>
      </c>
      <c r="V4">
        <v>141</v>
      </c>
      <c r="W4" s="18">
        <f t="shared" ref="W4:W5" si="18">100*V4/$O4</f>
        <v>67.142857142857139</v>
      </c>
      <c r="X4">
        <v>19</v>
      </c>
      <c r="Y4" s="18">
        <f t="shared" ref="Y4:Y5" si="19">100*X4/$O4</f>
        <v>9.0476190476190474</v>
      </c>
      <c r="Z4">
        <v>12</v>
      </c>
      <c r="AA4" s="18">
        <f t="shared" ref="AA4:AA5" si="20">100*Z4/$O4</f>
        <v>5.7142857142857144</v>
      </c>
      <c r="AB4">
        <v>6</v>
      </c>
      <c r="AC4" s="18">
        <f t="shared" ref="AC4:AC5" si="21">100*AB4/$O4</f>
        <v>2.8571428571428572</v>
      </c>
      <c r="AD4">
        <v>6</v>
      </c>
      <c r="AE4" s="18">
        <f t="shared" ref="AE4:AE5" si="22">100*AD4/$O4</f>
        <v>2.8571428571428572</v>
      </c>
      <c r="AF4">
        <v>17</v>
      </c>
      <c r="AG4" s="18">
        <f t="shared" ref="AG4:AG5" si="23">100*AF4/$O4</f>
        <v>8.0952380952380949</v>
      </c>
      <c r="AH4" t="s">
        <v>33</v>
      </c>
      <c r="AI4"/>
      <c r="AJ4"/>
    </row>
    <row r="5" spans="1:36" x14ac:dyDescent="0.4">
      <c r="A5">
        <v>5</v>
      </c>
      <c r="B5" s="4">
        <v>2717</v>
      </c>
      <c r="C5" t="s">
        <v>49</v>
      </c>
      <c r="D5">
        <v>1275</v>
      </c>
      <c r="E5">
        <f t="shared" si="12"/>
        <v>1275</v>
      </c>
      <c r="F5">
        <v>1200</v>
      </c>
      <c r="G5">
        <v>0</v>
      </c>
      <c r="H5">
        <v>390</v>
      </c>
      <c r="I5">
        <v>81</v>
      </c>
      <c r="J5" s="18">
        <f t="shared" si="13"/>
        <v>36.941176470588232</v>
      </c>
      <c r="K5" s="18">
        <f t="shared" si="14"/>
        <v>6.3529411764705879</v>
      </c>
      <c r="L5">
        <v>729</v>
      </c>
      <c r="M5">
        <v>81</v>
      </c>
      <c r="N5">
        <v>389</v>
      </c>
      <c r="O5">
        <f t="shared" si="15"/>
        <v>470</v>
      </c>
      <c r="P5" s="18">
        <f t="shared" si="16"/>
        <v>17.23404255319149</v>
      </c>
      <c r="Q5">
        <v>13</v>
      </c>
      <c r="R5" s="18">
        <f t="shared" si="17"/>
        <v>2.7659574468085109</v>
      </c>
      <c r="S5">
        <v>457</v>
      </c>
      <c r="T5">
        <v>0</v>
      </c>
      <c r="U5">
        <v>0</v>
      </c>
      <c r="V5">
        <v>402</v>
      </c>
      <c r="W5" s="18">
        <f t="shared" si="18"/>
        <v>85.531914893617028</v>
      </c>
      <c r="X5">
        <v>26</v>
      </c>
      <c r="Y5" s="18">
        <f t="shared" si="19"/>
        <v>5.5319148936170217</v>
      </c>
      <c r="Z5">
        <v>13</v>
      </c>
      <c r="AA5" s="18">
        <f t="shared" si="20"/>
        <v>2.7659574468085109</v>
      </c>
      <c r="AB5">
        <v>4</v>
      </c>
      <c r="AC5" s="18">
        <f t="shared" si="21"/>
        <v>0.85106382978723405</v>
      </c>
      <c r="AD5">
        <v>4</v>
      </c>
      <c r="AE5" s="18">
        <f t="shared" si="22"/>
        <v>0.85106382978723405</v>
      </c>
      <c r="AF5">
        <v>8</v>
      </c>
      <c r="AG5" s="18">
        <f t="shared" si="23"/>
        <v>1.7021276595744681</v>
      </c>
      <c r="AH5">
        <v>2017</v>
      </c>
      <c r="AI5"/>
      <c r="AJ5"/>
    </row>
    <row r="6" spans="1:36" x14ac:dyDescent="0.4">
      <c r="B6" s="1">
        <f>SUBTOTAL(103,Дума_партии348[УИК])</f>
        <v>4</v>
      </c>
      <c r="D6" s="1">
        <f>SUBTOTAL(109,Дума_партии348[Число избирателей, внесенных в список на момент окончания голосования])</f>
        <v>5037</v>
      </c>
      <c r="F6" s="1">
        <f>SUBTOTAL(109,Дума_партии348[Число бюллетеней, полученных участковой избирательной комиссией])</f>
        <v>4880</v>
      </c>
      <c r="G6" s="1">
        <f>SUBTOTAL(109,Дума_партии348[Число бюллетеней, выданных избирателям, проголосовавшим досрочно в помещении территориальной избирательной комиссии])</f>
        <v>0</v>
      </c>
      <c r="H6" s="1">
        <f>SUBTOTAL(109,Дума_партии348[Число бюллетеней, выданных избирателям, в помещении для голосования в день голосования])</f>
        <v>1191</v>
      </c>
      <c r="I6" s="1">
        <f>SUBTOTAL(109,Дума_партии348[Число бюллетеней, выданных избирателям, проголосовавшим вне помещения для голосования в день голосования])</f>
        <v>171</v>
      </c>
      <c r="J6" s="1"/>
      <c r="K6" s="1"/>
      <c r="L6" s="1">
        <f>SUBTOTAL(109,Дума_партии348[Число погашенных бюллетеней])</f>
        <v>3518</v>
      </c>
      <c r="M6" s="1">
        <f>SUBTOTAL(109,Дума_партии348[Число бюллетеней, содержащихся в переносных ящиках для голосования])</f>
        <v>171</v>
      </c>
      <c r="N6" s="1">
        <f>SUBTOTAL(109,Дума_партии348[Число бюллетеней, содержащихся в стационарных ящиках для голосования])</f>
        <v>1190</v>
      </c>
      <c r="O6" s="1">
        <f>SUBTOTAL(109,Дума_партии348[Обнаружено])</f>
        <v>1361</v>
      </c>
      <c r="P6" s="1"/>
      <c r="Q6" s="1">
        <f>SUBTOTAL(109,Дума_партии348[Число недействительных бюллетеней])</f>
        <v>41</v>
      </c>
      <c r="R6" s="1"/>
      <c r="S6" s="8">
        <f>SUBTOTAL(109,Дума_партии348[Число действительных бюллетеней])</f>
        <v>1320</v>
      </c>
      <c r="T6" s="1">
        <f>SUBTOTAL(109,Дума_партии348[Число утраченных бюллетеней])</f>
        <v>0</v>
      </c>
      <c r="U6" s="1">
        <f>SUBTOTAL(109,Дума_партии348[Число бюллетеней, не учтенных при получении])</f>
        <v>0</v>
      </c>
      <c r="V6" s="1">
        <f>SUBTOTAL(109,Дума_партии348[Вереина Ирина Алексеевна])</f>
        <v>1045</v>
      </c>
      <c r="W6" s="1"/>
      <c r="X6" s="1">
        <f>SUBTOTAL(109,Дума_партии348[Паршков Максим Борисович])</f>
        <v>124</v>
      </c>
      <c r="Y6" s="1"/>
      <c r="Z6" s="1">
        <f>SUBTOTAL(109,Дума_партии348[Поляков Николай Евгеньевич])</f>
        <v>50</v>
      </c>
      <c r="AA6" s="1"/>
      <c r="AB6" s="1">
        <f>SUBTOTAL(109,Дума_партии348[Хвингия Ирина Сергеевна])</f>
        <v>15</v>
      </c>
      <c r="AC6" s="1"/>
      <c r="AD6" s="1">
        <f>SUBTOTAL(109,Дума_партии348[Шалакова Светлана Алексеевна])</f>
        <v>31</v>
      </c>
      <c r="AE6" s="1"/>
      <c r="AF6" s="1">
        <f>SUBTOTAL(109,Дума_партии348[Щемелева Валентина Анатольевна])</f>
        <v>55</v>
      </c>
      <c r="AG6" s="1"/>
      <c r="AH6" s="1">
        <f>SUBTOTAL(102,Дума_партии348[КОИБ])</f>
        <v>2</v>
      </c>
      <c r="AI6" s="1">
        <f>SUBTOTAL(102,Дума_партии348[Наблюдателей])</f>
        <v>2</v>
      </c>
    </row>
    <row r="7" spans="1:36" x14ac:dyDescent="0.4">
      <c r="A7" s="3"/>
      <c r="B7" s="3"/>
      <c r="C7" s="3"/>
      <c r="D7" s="3"/>
      <c r="E7" s="3"/>
      <c r="F7" s="3"/>
      <c r="G7" s="3"/>
      <c r="H7" s="3" t="s">
        <v>12</v>
      </c>
      <c r="I7" s="3">
        <f>100*(H6+I6)/D6</f>
        <v>27.039904705181655</v>
      </c>
      <c r="L7" s="3"/>
      <c r="M7" s="3"/>
      <c r="N7" s="3"/>
      <c r="O7" s="3"/>
      <c r="Q7" s="3"/>
      <c r="S7" s="3"/>
      <c r="T7" s="3"/>
      <c r="U7" s="3"/>
      <c r="V7" s="3">
        <f>100*V6/$O6</f>
        <v>76.781778104335046</v>
      </c>
      <c r="X7" s="3">
        <f>100*X6/$O6</f>
        <v>9.1109478324761213</v>
      </c>
      <c r="Z7" s="3">
        <f>100*Z6/$O6</f>
        <v>3.6737692872887582</v>
      </c>
      <c r="AB7" s="3">
        <f>100*AB6/$O6</f>
        <v>1.1021307861866274</v>
      </c>
      <c r="AD7" s="3">
        <f>100*AD6/$O6</f>
        <v>2.2777369581190303</v>
      </c>
      <c r="AF7" s="3">
        <f>100*AF6/$O6</f>
        <v>4.0411462160176344</v>
      </c>
      <c r="AH7" s="3"/>
    </row>
    <row r="8" spans="1:36" x14ac:dyDescent="0.4">
      <c r="A8" s="3"/>
      <c r="B8" s="3"/>
      <c r="C8" s="3"/>
      <c r="D8" s="3"/>
      <c r="E8" s="3"/>
      <c r="F8" s="3"/>
      <c r="G8" s="3"/>
      <c r="H8" s="3"/>
      <c r="I8" s="3"/>
      <c r="L8" s="3"/>
      <c r="M8" s="3"/>
      <c r="N8" s="3"/>
      <c r="O8" s="3"/>
      <c r="Q8" s="3"/>
      <c r="S8" s="3"/>
      <c r="T8" s="3"/>
      <c r="U8" s="3"/>
      <c r="V8" s="3"/>
      <c r="X8" s="3"/>
      <c r="Z8" s="3"/>
      <c r="AB8" s="3"/>
      <c r="AH8" s="3"/>
      <c r="AI8" s="3"/>
    </row>
    <row r="24" spans="22:25" x14ac:dyDescent="0.4">
      <c r="W24" s="1"/>
    </row>
    <row r="25" spans="22:25" x14ac:dyDescent="0.4">
      <c r="V25" s="3"/>
      <c r="W25" s="9"/>
    </row>
    <row r="26" spans="22:25" x14ac:dyDescent="0.4">
      <c r="W26" s="5"/>
      <c r="Y26" s="5"/>
    </row>
    <row r="27" spans="22:25" x14ac:dyDescent="0.4">
      <c r="V27" s="3"/>
      <c r="W27" s="9"/>
    </row>
    <row r="28" spans="22:25" x14ac:dyDescent="0.4">
      <c r="V28" s="3"/>
      <c r="W28" s="1"/>
    </row>
    <row r="29" spans="22:25" x14ac:dyDescent="0.4">
      <c r="V29" s="3"/>
      <c r="W29" s="1"/>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3"/>
      <c r="W41" s="1"/>
    </row>
    <row r="42" spans="22:23" x14ac:dyDescent="0.4">
      <c r="V42" s="3"/>
      <c r="W42" s="1"/>
    </row>
    <row r="43" spans="22:23" x14ac:dyDescent="0.4">
      <c r="V43" s="1" t="s">
        <v>83</v>
      </c>
      <c r="W43" s="1"/>
    </row>
    <row r="44" spans="22:23" x14ac:dyDescent="0.4">
      <c r="V44" s="1">
        <f>MAX(Дума_партии[Вес участка])*2</f>
        <v>5646</v>
      </c>
      <c r="W44" s="1"/>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049B-9A4A-46B2-92CB-87CC683AEC7F}">
  <dimension ref="A1:AH43"/>
  <sheetViews>
    <sheetView zoomScale="70" zoomScaleNormal="70" workbookViewId="0">
      <pane ySplit="1" topLeftCell="A2" activePane="bottomLeft" state="frozen"/>
      <selection pane="bottomLeft" activeCell="V11" sqref="V11"/>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31" width="6.23046875" style="3" customWidth="1"/>
    <col min="32" max="32" width="6.23046875" style="1" customWidth="1"/>
    <col min="33" max="33" width="6.53515625" style="6" customWidth="1"/>
    <col min="34" max="34" width="19.3828125" style="1" customWidth="1"/>
    <col min="35" max="16384" width="9.23046875" style="1"/>
  </cols>
  <sheetData>
    <row r="1" spans="1:34"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7" t="s">
        <v>134</v>
      </c>
      <c r="W1" s="14" t="s">
        <v>140</v>
      </c>
      <c r="X1" s="17" t="s">
        <v>135</v>
      </c>
      <c r="Y1" s="14" t="s">
        <v>141</v>
      </c>
      <c r="Z1" s="11" t="s">
        <v>136</v>
      </c>
      <c r="AA1" s="14" t="s">
        <v>142</v>
      </c>
      <c r="AB1" s="11" t="s">
        <v>137</v>
      </c>
      <c r="AC1" s="14" t="s">
        <v>138</v>
      </c>
      <c r="AD1" s="17" t="s">
        <v>139</v>
      </c>
      <c r="AE1" s="14" t="s">
        <v>143</v>
      </c>
      <c r="AF1" s="15" t="s">
        <v>32</v>
      </c>
      <c r="AG1" s="25" t="s">
        <v>23</v>
      </c>
      <c r="AH1" s="25" t="s">
        <v>205</v>
      </c>
    </row>
    <row r="2" spans="1:34" x14ac:dyDescent="0.4">
      <c r="A2">
        <v>6</v>
      </c>
      <c r="B2" s="4">
        <v>2691</v>
      </c>
      <c r="C2" t="s">
        <v>50</v>
      </c>
      <c r="D2">
        <v>1648</v>
      </c>
      <c r="E2" s="1">
        <f t="shared" ref="E2:E4" si="0">D2</f>
        <v>1648</v>
      </c>
      <c r="F2">
        <v>1600</v>
      </c>
      <c r="G2">
        <v>0</v>
      </c>
      <c r="H2">
        <v>228</v>
      </c>
      <c r="I2">
        <v>11</v>
      </c>
      <c r="J2" s="3">
        <f t="shared" ref="J2:J4" si="1">100*(H2+I2)/D2</f>
        <v>14.50242718446602</v>
      </c>
      <c r="K2" s="3">
        <f t="shared" ref="K2:K4" si="2">100*I2/D2</f>
        <v>0.66747572815533984</v>
      </c>
      <c r="L2">
        <v>1361</v>
      </c>
      <c r="M2">
        <v>11</v>
      </c>
      <c r="N2">
        <v>228</v>
      </c>
      <c r="O2" s="1">
        <f t="shared" ref="O2:O4" si="3">M2+N2</f>
        <v>239</v>
      </c>
      <c r="P2" s="3">
        <f t="shared" ref="P2:P4" si="4">100*M2/O2</f>
        <v>4.6025104602510458</v>
      </c>
      <c r="Q2">
        <v>9</v>
      </c>
      <c r="R2" s="3">
        <f t="shared" ref="R2:R4" si="5">100*Q2/O2</f>
        <v>3.7656903765690375</v>
      </c>
      <c r="S2">
        <v>230</v>
      </c>
      <c r="T2">
        <v>0</v>
      </c>
      <c r="U2">
        <v>0</v>
      </c>
      <c r="V2">
        <v>29</v>
      </c>
      <c r="W2" s="3">
        <f t="shared" ref="W2:W4" si="6">100*V2/$O2</f>
        <v>12.133891213389122</v>
      </c>
      <c r="X2">
        <v>139</v>
      </c>
      <c r="Y2" s="3">
        <f t="shared" ref="Y2:Y4" si="7">100*X2/$O2</f>
        <v>58.15899581589958</v>
      </c>
      <c r="Z2">
        <v>52</v>
      </c>
      <c r="AA2" s="3">
        <f t="shared" ref="AA2:AA4" si="8">100*Z2/$O2</f>
        <v>21.757322175732217</v>
      </c>
      <c r="AB2">
        <v>4</v>
      </c>
      <c r="AC2" s="3">
        <f t="shared" ref="AC2:AC4" si="9">100*AB2/$O2</f>
        <v>1.6736401673640167</v>
      </c>
      <c r="AD2">
        <v>6</v>
      </c>
      <c r="AE2" s="3">
        <f t="shared" ref="AE2:AE4" si="10">100*AD2/$O2</f>
        <v>2.510460251046025</v>
      </c>
      <c r="AF2">
        <v>2017</v>
      </c>
      <c r="AG2">
        <v>1</v>
      </c>
      <c r="AH2" t="s">
        <v>201</v>
      </c>
    </row>
    <row r="3" spans="1:34" x14ac:dyDescent="0.4">
      <c r="A3">
        <v>6</v>
      </c>
      <c r="B3" s="4">
        <v>2692</v>
      </c>
      <c r="C3" t="s">
        <v>50</v>
      </c>
      <c r="D3">
        <v>1983</v>
      </c>
      <c r="E3">
        <f t="shared" si="0"/>
        <v>1983</v>
      </c>
      <c r="F3">
        <v>1900</v>
      </c>
      <c r="G3">
        <v>0</v>
      </c>
      <c r="H3">
        <v>212</v>
      </c>
      <c r="I3">
        <v>3</v>
      </c>
      <c r="J3" s="18">
        <f t="shared" si="1"/>
        <v>10.842158345940494</v>
      </c>
      <c r="K3" s="18">
        <f t="shared" si="2"/>
        <v>0.15128593040847202</v>
      </c>
      <c r="L3" s="1">
        <v>1685</v>
      </c>
      <c r="M3">
        <v>3</v>
      </c>
      <c r="N3">
        <v>212</v>
      </c>
      <c r="O3">
        <f t="shared" si="3"/>
        <v>215</v>
      </c>
      <c r="P3" s="18">
        <f t="shared" si="4"/>
        <v>1.3953488372093024</v>
      </c>
      <c r="Q3">
        <v>5</v>
      </c>
      <c r="R3" s="18">
        <f t="shared" si="5"/>
        <v>2.3255813953488373</v>
      </c>
      <c r="S3">
        <v>210</v>
      </c>
      <c r="T3">
        <v>0</v>
      </c>
      <c r="U3">
        <v>0</v>
      </c>
      <c r="V3">
        <v>16</v>
      </c>
      <c r="W3" s="18">
        <f t="shared" si="6"/>
        <v>7.441860465116279</v>
      </c>
      <c r="X3">
        <v>127</v>
      </c>
      <c r="Y3" s="18">
        <f t="shared" si="7"/>
        <v>59.069767441860463</v>
      </c>
      <c r="Z3">
        <v>56</v>
      </c>
      <c r="AA3" s="18">
        <f t="shared" si="8"/>
        <v>26.046511627906977</v>
      </c>
      <c r="AB3">
        <v>4</v>
      </c>
      <c r="AC3" s="18">
        <f t="shared" si="9"/>
        <v>1.8604651162790697</v>
      </c>
      <c r="AD3">
        <v>7</v>
      </c>
      <c r="AE3" s="18">
        <f t="shared" si="10"/>
        <v>3.2558139534883721</v>
      </c>
      <c r="AF3">
        <v>2017</v>
      </c>
      <c r="AG3">
        <v>2</v>
      </c>
      <c r="AH3" t="s">
        <v>203</v>
      </c>
    </row>
    <row r="4" spans="1:34" s="3" customFormat="1" x14ac:dyDescent="0.4">
      <c r="A4">
        <v>6</v>
      </c>
      <c r="B4" s="4">
        <v>2965</v>
      </c>
      <c r="C4" t="s">
        <v>51</v>
      </c>
      <c r="D4">
        <v>1847</v>
      </c>
      <c r="E4">
        <f t="shared" si="0"/>
        <v>1847</v>
      </c>
      <c r="F4">
        <v>1800</v>
      </c>
      <c r="G4">
        <v>0</v>
      </c>
      <c r="H4">
        <v>328</v>
      </c>
      <c r="I4">
        <v>8</v>
      </c>
      <c r="J4" s="18">
        <f t="shared" si="1"/>
        <v>18.191662154845694</v>
      </c>
      <c r="K4" s="18">
        <f t="shared" si="2"/>
        <v>0.43313481321061181</v>
      </c>
      <c r="L4">
        <v>1464</v>
      </c>
      <c r="M4">
        <v>8</v>
      </c>
      <c r="N4">
        <v>328</v>
      </c>
      <c r="O4">
        <f t="shared" si="3"/>
        <v>336</v>
      </c>
      <c r="P4" s="18">
        <f t="shared" si="4"/>
        <v>2.3809523809523809</v>
      </c>
      <c r="Q4">
        <v>15</v>
      </c>
      <c r="R4" s="18">
        <f t="shared" si="5"/>
        <v>4.4642857142857144</v>
      </c>
      <c r="S4">
        <v>321</v>
      </c>
      <c r="T4">
        <v>0</v>
      </c>
      <c r="U4">
        <v>0</v>
      </c>
      <c r="V4">
        <v>25</v>
      </c>
      <c r="W4" s="18">
        <f t="shared" si="6"/>
        <v>7.4404761904761907</v>
      </c>
      <c r="X4">
        <v>192</v>
      </c>
      <c r="Y4" s="18">
        <f t="shared" si="7"/>
        <v>57.142857142857146</v>
      </c>
      <c r="Z4">
        <v>84</v>
      </c>
      <c r="AA4" s="18">
        <f t="shared" si="8"/>
        <v>25</v>
      </c>
      <c r="AB4">
        <v>4</v>
      </c>
      <c r="AC4" s="18">
        <f t="shared" si="9"/>
        <v>1.1904761904761905</v>
      </c>
      <c r="AD4">
        <v>16</v>
      </c>
      <c r="AE4" s="18">
        <f t="shared" si="10"/>
        <v>4.7619047619047619</v>
      </c>
      <c r="AF4" t="s">
        <v>33</v>
      </c>
      <c r="AG4">
        <v>2</v>
      </c>
      <c r="AH4" t="s">
        <v>203</v>
      </c>
    </row>
    <row r="5" spans="1:34" x14ac:dyDescent="0.4">
      <c r="B5" s="1">
        <f>SUBTOTAL(103,Дума_партии349[УИК])</f>
        <v>3</v>
      </c>
      <c r="D5" s="1">
        <f>SUBTOTAL(109,Дума_партии349[Число избирателей, внесенных в список на момент окончания голосования])</f>
        <v>5478</v>
      </c>
      <c r="F5" s="1">
        <f>SUBTOTAL(109,Дума_партии349[Число бюллетеней, полученных участковой избирательной комиссией])</f>
        <v>5300</v>
      </c>
      <c r="G5" s="1">
        <f>SUBTOTAL(109,Дума_партии349[Число бюллетеней, выданных избирателям, проголосовавшим досрочно в помещении территориальной избирательной комиссии])</f>
        <v>0</v>
      </c>
      <c r="H5" s="1">
        <f>SUBTOTAL(109,Дума_партии349[Число бюллетеней, выданных избирателям, в помещении для голосования в день голосования])</f>
        <v>768</v>
      </c>
      <c r="I5" s="1">
        <f>SUBTOTAL(109,Дума_партии349[Число бюллетеней, выданных избирателям, проголосовавшим вне помещения для голосования в день голосования])</f>
        <v>22</v>
      </c>
      <c r="J5" s="1"/>
      <c r="K5" s="1"/>
      <c r="L5" s="1">
        <f>SUBTOTAL(109,Дума_партии349[Число погашенных бюллетеней])</f>
        <v>4510</v>
      </c>
      <c r="M5" s="1">
        <f>SUBTOTAL(109,Дума_партии349[Число бюллетеней, содержащихся в переносных ящиках для голосования])</f>
        <v>22</v>
      </c>
      <c r="N5" s="1">
        <f>SUBTOTAL(109,Дума_партии349[Число бюллетеней, содержащихся в стационарных ящиках для голосования])</f>
        <v>768</v>
      </c>
      <c r="O5" s="1">
        <f>SUBTOTAL(109,Дума_партии349[Обнаружено])</f>
        <v>790</v>
      </c>
      <c r="P5" s="1"/>
      <c r="Q5" s="1">
        <f>SUBTOTAL(109,Дума_партии349[Число недействительных бюллетеней])</f>
        <v>29</v>
      </c>
      <c r="R5" s="1"/>
      <c r="S5" s="8">
        <f>SUBTOTAL(109,Дума_партии349[Число действительных бюллетеней])</f>
        <v>761</v>
      </c>
      <c r="T5" s="1">
        <f>SUBTOTAL(109,Дума_партии349[Число утраченных бюллетеней])</f>
        <v>0</v>
      </c>
      <c r="U5" s="1">
        <f>SUBTOTAL(109,Дума_партии349[Число бюллетеней, не учтенных при получении])</f>
        <v>0</v>
      </c>
      <c r="V5" s="1">
        <f>SUBTOTAL(109,Дума_партии349[Байдаков Эдуард Михайлович])</f>
        <v>70</v>
      </c>
      <c r="W5" s="1"/>
      <c r="X5" s="1">
        <f>SUBTOTAL(109,Дума_партии349[Вишнякова Елена Константиновна])</f>
        <v>458</v>
      </c>
      <c r="Y5" s="1"/>
      <c r="Z5" s="1">
        <f>SUBTOTAL(109,Дума_партии349[Максимов Тимофей Андреевич])</f>
        <v>192</v>
      </c>
      <c r="AA5" s="1"/>
      <c r="AB5" s="1">
        <f>SUBTOTAL(109,Дума_партии349[Нарватов Михаил Васильевич])</f>
        <v>12</v>
      </c>
      <c r="AC5" s="1"/>
      <c r="AD5" s="1">
        <f>SUBTOTAL(109,Дума_партии349[Таранова Наталья Васильевна])</f>
        <v>29</v>
      </c>
      <c r="AE5" s="1"/>
      <c r="AF5" s="1">
        <f>SUBTOTAL(102,Дума_партии349[КОИБ])</f>
        <v>2</v>
      </c>
      <c r="AG5" s="1">
        <f>SUBTOTAL(102,Дума_партии349[Наблюдателей])</f>
        <v>3</v>
      </c>
    </row>
    <row r="6" spans="1:34" x14ac:dyDescent="0.4">
      <c r="A6" s="3"/>
      <c r="B6" s="3"/>
      <c r="C6" s="3"/>
      <c r="D6" s="3"/>
      <c r="E6" s="3"/>
      <c r="F6" s="3"/>
      <c r="G6" s="3"/>
      <c r="H6" s="3" t="s">
        <v>12</v>
      </c>
      <c r="I6" s="3">
        <f>100*(H5+I5)/D5</f>
        <v>14.421321650237314</v>
      </c>
      <c r="L6" s="3"/>
      <c r="M6" s="3"/>
      <c r="N6" s="3"/>
      <c r="O6" s="3"/>
      <c r="Q6" s="3"/>
      <c r="S6" s="3"/>
      <c r="T6" s="3"/>
      <c r="U6" s="3"/>
      <c r="V6" s="3">
        <f>100*V5/$O5</f>
        <v>8.8607594936708853</v>
      </c>
      <c r="X6" s="3">
        <f>100*X5/$O5</f>
        <v>57.974683544303801</v>
      </c>
      <c r="Z6" s="3">
        <f>100*Z5/$O5</f>
        <v>24.303797468354432</v>
      </c>
      <c r="AB6" s="3">
        <f>100*AB5/$O5</f>
        <v>1.518987341772152</v>
      </c>
      <c r="AD6" s="3">
        <f>100*AD5/$O5</f>
        <v>3.6708860759493671</v>
      </c>
      <c r="AF6" s="3"/>
    </row>
    <row r="7" spans="1:34" x14ac:dyDescent="0.4">
      <c r="A7" s="3"/>
      <c r="B7" s="3"/>
      <c r="C7" s="3"/>
      <c r="D7" s="3"/>
      <c r="E7" s="3"/>
      <c r="F7" s="3"/>
      <c r="G7" s="3"/>
      <c r="H7" s="3"/>
      <c r="I7" s="3"/>
      <c r="L7" s="3"/>
      <c r="M7" s="3"/>
      <c r="N7" s="3"/>
      <c r="O7" s="3"/>
      <c r="Q7" s="3"/>
      <c r="S7" s="3"/>
      <c r="T7" s="3"/>
      <c r="U7" s="3"/>
      <c r="V7" s="3"/>
      <c r="X7" s="3"/>
      <c r="Z7" s="3"/>
      <c r="AB7" s="3"/>
      <c r="AF7" s="3"/>
      <c r="AG7" s="3"/>
    </row>
    <row r="23" spans="22:25" x14ac:dyDescent="0.4">
      <c r="W23" s="1"/>
    </row>
    <row r="24" spans="22:25" x14ac:dyDescent="0.4">
      <c r="V24" s="3"/>
      <c r="W24" s="9"/>
    </row>
    <row r="25" spans="22:25" x14ac:dyDescent="0.4">
      <c r="W25" s="5"/>
      <c r="Y25" s="5"/>
    </row>
    <row r="26" spans="22:25" x14ac:dyDescent="0.4">
      <c r="V26" s="3"/>
      <c r="W26" s="9"/>
    </row>
    <row r="27" spans="22:25" x14ac:dyDescent="0.4">
      <c r="V27" s="3"/>
      <c r="W27" s="1"/>
    </row>
    <row r="28" spans="22:25" x14ac:dyDescent="0.4">
      <c r="V28" s="3"/>
      <c r="W28" s="1"/>
    </row>
    <row r="29" spans="22:25" x14ac:dyDescent="0.4">
      <c r="V29" s="3"/>
      <c r="W29" s="1"/>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3"/>
      <c r="W41" s="1"/>
    </row>
    <row r="42" spans="22:23" x14ac:dyDescent="0.4">
      <c r="V42" s="1" t="s">
        <v>83</v>
      </c>
      <c r="W42" s="1"/>
    </row>
    <row r="43" spans="22:23" x14ac:dyDescent="0.4">
      <c r="V43" s="1">
        <f>MAX(Дума_партии[Вес участка])*2</f>
        <v>5646</v>
      </c>
      <c r="W43" s="1"/>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2ED3-BFFF-4E96-A340-63EDA062FC28}">
  <dimension ref="A1:AL42"/>
  <sheetViews>
    <sheetView zoomScale="70" zoomScaleNormal="70" workbookViewId="0">
      <pane ySplit="1" topLeftCell="A2" activePane="bottomLeft" state="frozen"/>
      <selection pane="bottomLeft" activeCell="W9" sqref="W9"/>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33" width="6.23046875" style="3" customWidth="1"/>
    <col min="34" max="34" width="6.23046875" style="1" customWidth="1"/>
    <col min="35" max="35" width="6.23046875" style="3" customWidth="1"/>
    <col min="36" max="36" width="6.23046875" style="1" customWidth="1"/>
    <col min="37" max="37" width="6.53515625" style="6" customWidth="1"/>
    <col min="38" max="38" width="19.3828125" style="1" customWidth="1"/>
    <col min="39" max="16384" width="9.23046875" style="1"/>
  </cols>
  <sheetData>
    <row r="1" spans="1:38"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7" t="s">
        <v>144</v>
      </c>
      <c r="W1" s="14" t="s">
        <v>152</v>
      </c>
      <c r="X1" s="17" t="s">
        <v>145</v>
      </c>
      <c r="Y1" s="14" t="s">
        <v>153</v>
      </c>
      <c r="Z1" s="11" t="s">
        <v>146</v>
      </c>
      <c r="AA1" s="14" t="s">
        <v>154</v>
      </c>
      <c r="AB1" s="11" t="s">
        <v>147</v>
      </c>
      <c r="AC1" s="14" t="s">
        <v>155</v>
      </c>
      <c r="AD1" s="17" t="s">
        <v>148</v>
      </c>
      <c r="AE1" s="14" t="s">
        <v>156</v>
      </c>
      <c r="AF1" s="11" t="s">
        <v>149</v>
      </c>
      <c r="AG1" s="14" t="s">
        <v>157</v>
      </c>
      <c r="AH1" s="17" t="s">
        <v>150</v>
      </c>
      <c r="AI1" s="14" t="s">
        <v>151</v>
      </c>
      <c r="AJ1" s="15" t="s">
        <v>32</v>
      </c>
      <c r="AK1" s="25" t="s">
        <v>23</v>
      </c>
      <c r="AL1" s="25" t="s">
        <v>205</v>
      </c>
    </row>
    <row r="2" spans="1:38" x14ac:dyDescent="0.4">
      <c r="A2">
        <v>7</v>
      </c>
      <c r="B2" s="4">
        <v>2694</v>
      </c>
      <c r="C2" t="s">
        <v>50</v>
      </c>
      <c r="D2">
        <v>2713</v>
      </c>
      <c r="E2" s="1">
        <f t="shared" ref="E2:E3" si="0">D2</f>
        <v>2713</v>
      </c>
      <c r="F2">
        <v>2700</v>
      </c>
      <c r="G2">
        <v>0</v>
      </c>
      <c r="H2">
        <v>438</v>
      </c>
      <c r="I2">
        <v>2</v>
      </c>
      <c r="J2" s="3">
        <f t="shared" ref="J2:J3" si="1">100*(H2+I2)/D2</f>
        <v>16.218208625138224</v>
      </c>
      <c r="K2" s="3">
        <f t="shared" ref="K2:K3" si="2">100*I2/D2</f>
        <v>7.3719130114264647E-2</v>
      </c>
      <c r="L2">
        <v>2260</v>
      </c>
      <c r="M2">
        <v>2</v>
      </c>
      <c r="N2">
        <v>438</v>
      </c>
      <c r="O2" s="1">
        <f t="shared" ref="O2:O3" si="3">M2+N2</f>
        <v>440</v>
      </c>
      <c r="P2" s="3">
        <f t="shared" ref="P2:P3" si="4">100*M2/O2</f>
        <v>0.45454545454545453</v>
      </c>
      <c r="Q2">
        <v>25</v>
      </c>
      <c r="R2" s="3">
        <f t="shared" ref="R2:R3" si="5">100*Q2/O2</f>
        <v>5.6818181818181817</v>
      </c>
      <c r="S2">
        <v>415</v>
      </c>
      <c r="T2">
        <v>0</v>
      </c>
      <c r="U2">
        <v>0</v>
      </c>
      <c r="V2">
        <v>246</v>
      </c>
      <c r="W2" s="3">
        <f t="shared" ref="W2:W3" si="6">100*V2/$O2</f>
        <v>55.909090909090907</v>
      </c>
      <c r="X2">
        <v>102</v>
      </c>
      <c r="Y2" s="3">
        <f t="shared" ref="Y2:Y3" si="7">100*X2/$O2</f>
        <v>23.181818181818183</v>
      </c>
      <c r="Z2">
        <v>23</v>
      </c>
      <c r="AA2" s="3">
        <f t="shared" ref="AA2:AA3" si="8">100*Z2/$O2</f>
        <v>5.2272727272727275</v>
      </c>
      <c r="AB2">
        <v>10</v>
      </c>
      <c r="AC2" s="3">
        <f t="shared" ref="AC2:AC3" si="9">100*AB2/$O2</f>
        <v>2.2727272727272729</v>
      </c>
      <c r="AD2">
        <v>14</v>
      </c>
      <c r="AE2" s="3">
        <f t="shared" ref="AE2:AE3" si="10">100*AD2/$O2</f>
        <v>3.1818181818181817</v>
      </c>
      <c r="AF2">
        <v>5</v>
      </c>
      <c r="AG2" s="3">
        <f t="shared" ref="AG2:AG3" si="11">100*AF2/$O2</f>
        <v>1.1363636363636365</v>
      </c>
      <c r="AH2">
        <v>15</v>
      </c>
      <c r="AI2" s="3">
        <f t="shared" ref="AI2:AI3" si="12">100*AH2/$O2</f>
        <v>3.4090909090909092</v>
      </c>
      <c r="AJ2">
        <v>2017</v>
      </c>
      <c r="AK2">
        <v>3</v>
      </c>
      <c r="AL2" t="s">
        <v>204</v>
      </c>
    </row>
    <row r="3" spans="1:38" s="3" customFormat="1" x14ac:dyDescent="0.4">
      <c r="A3">
        <v>7</v>
      </c>
      <c r="B3" s="4">
        <v>2695</v>
      </c>
      <c r="C3" t="s">
        <v>50</v>
      </c>
      <c r="D3">
        <v>2330</v>
      </c>
      <c r="E3" s="1">
        <f t="shared" si="0"/>
        <v>2330</v>
      </c>
      <c r="F3">
        <v>2300</v>
      </c>
      <c r="G3">
        <v>0</v>
      </c>
      <c r="H3">
        <v>413</v>
      </c>
      <c r="I3">
        <v>13</v>
      </c>
      <c r="J3" s="3">
        <f t="shared" si="1"/>
        <v>18.283261802575108</v>
      </c>
      <c r="K3" s="3">
        <f t="shared" si="2"/>
        <v>0.55793991416309008</v>
      </c>
      <c r="L3">
        <v>1874</v>
      </c>
      <c r="M3">
        <v>13</v>
      </c>
      <c r="N3">
        <v>412</v>
      </c>
      <c r="O3" s="1">
        <f t="shared" si="3"/>
        <v>425</v>
      </c>
      <c r="P3" s="3">
        <f t="shared" si="4"/>
        <v>3.0588235294117645</v>
      </c>
      <c r="Q3">
        <v>16</v>
      </c>
      <c r="R3" s="3">
        <f t="shared" si="5"/>
        <v>3.7647058823529411</v>
      </c>
      <c r="S3">
        <v>409</v>
      </c>
      <c r="T3">
        <v>0</v>
      </c>
      <c r="U3">
        <v>0</v>
      </c>
      <c r="V3">
        <v>270</v>
      </c>
      <c r="W3" s="3">
        <f t="shared" si="6"/>
        <v>63.529411764705884</v>
      </c>
      <c r="X3">
        <v>80</v>
      </c>
      <c r="Y3" s="3">
        <f t="shared" si="7"/>
        <v>18.823529411764707</v>
      </c>
      <c r="Z3">
        <v>13</v>
      </c>
      <c r="AA3" s="3">
        <f t="shared" si="8"/>
        <v>3.0588235294117645</v>
      </c>
      <c r="AB3">
        <v>17</v>
      </c>
      <c r="AC3" s="3">
        <f t="shared" si="9"/>
        <v>4</v>
      </c>
      <c r="AD3">
        <v>11</v>
      </c>
      <c r="AE3" s="3">
        <f t="shared" si="10"/>
        <v>2.5882352941176472</v>
      </c>
      <c r="AF3">
        <v>11</v>
      </c>
      <c r="AG3" s="3">
        <f t="shared" si="11"/>
        <v>2.5882352941176472</v>
      </c>
      <c r="AH3">
        <v>7</v>
      </c>
      <c r="AI3" s="3">
        <f t="shared" si="12"/>
        <v>1.6470588235294117</v>
      </c>
      <c r="AJ3">
        <v>2017</v>
      </c>
      <c r="AK3">
        <v>1</v>
      </c>
      <c r="AL3" t="s">
        <v>200</v>
      </c>
    </row>
    <row r="4" spans="1:38" x14ac:dyDescent="0.4">
      <c r="B4" s="1">
        <f>SUBTOTAL(103,Дума_партии3410[УИК])</f>
        <v>2</v>
      </c>
      <c r="D4" s="1">
        <f>SUBTOTAL(109,Дума_партии3410[Число избирателей, внесенных в список на момент окончания голосования])</f>
        <v>5043</v>
      </c>
      <c r="F4" s="1">
        <f>SUBTOTAL(109,Дума_партии3410[Число бюллетеней, полученных участковой избирательной комиссией])</f>
        <v>5000</v>
      </c>
      <c r="G4" s="1">
        <f>SUBTOTAL(109,Дума_партии3410[Число бюллетеней, выданных избирателям, проголосовавшим досрочно в помещении территориальной избирательной комиссии])</f>
        <v>0</v>
      </c>
      <c r="H4" s="1">
        <f>SUBTOTAL(109,Дума_партии3410[Число бюллетеней, выданных избирателям, в помещении для голосования в день голосования])</f>
        <v>851</v>
      </c>
      <c r="I4" s="1">
        <f>SUBTOTAL(109,Дума_партии3410[Число бюллетеней, выданных избирателям, проголосовавшим вне помещения для голосования в день голосования])</f>
        <v>15</v>
      </c>
      <c r="J4" s="1"/>
      <c r="K4" s="1"/>
      <c r="L4" s="1">
        <f>SUBTOTAL(109,Дума_партии3410[Число погашенных бюллетеней])</f>
        <v>4134</v>
      </c>
      <c r="M4" s="1">
        <f>SUBTOTAL(109,Дума_партии3410[Число бюллетеней, содержащихся в переносных ящиках для голосования])</f>
        <v>15</v>
      </c>
      <c r="N4" s="1">
        <f>SUBTOTAL(109,Дума_партии3410[Число бюллетеней, содержащихся в стационарных ящиках для голосования])</f>
        <v>850</v>
      </c>
      <c r="O4" s="1">
        <f>SUBTOTAL(109,Дума_партии3410[Обнаружено])</f>
        <v>865</v>
      </c>
      <c r="P4" s="1"/>
      <c r="Q4" s="1">
        <f>SUBTOTAL(109,Дума_партии3410[Число недействительных бюллетеней])</f>
        <v>41</v>
      </c>
      <c r="R4" s="1"/>
      <c r="S4" s="8">
        <f>SUBTOTAL(109,Дума_партии3410[Число действительных бюллетеней])</f>
        <v>824</v>
      </c>
      <c r="T4" s="1">
        <f>SUBTOTAL(109,Дума_партии3410[Число утраченных бюллетеней])</f>
        <v>0</v>
      </c>
      <c r="U4" s="1">
        <f>SUBTOTAL(109,Дума_партии3410[Число бюллетеней, не учтенных при получении])</f>
        <v>0</v>
      </c>
      <c r="V4" s="1">
        <f>SUBTOTAL(109,Дума_партии3410[Баранов Дмитрий Александрович])</f>
        <v>516</v>
      </c>
      <c r="W4" s="1"/>
      <c r="X4" s="1">
        <f>SUBTOTAL(109,Дума_партии3410[Буланкин Сергей Владимирович])</f>
        <v>182</v>
      </c>
      <c r="Y4" s="1"/>
      <c r="Z4" s="1">
        <f>SUBTOTAL(109,Дума_партии3410[Губанова Валерия Арипхановна])</f>
        <v>36</v>
      </c>
      <c r="AA4" s="1"/>
      <c r="AB4" s="1">
        <f>SUBTOTAL(109,Дума_партии3410[Нечаева Дарья Алексеевна])</f>
        <v>27</v>
      </c>
      <c r="AC4" s="1"/>
      <c r="AD4" s="1">
        <f>SUBTOTAL(109,Дума_партии3410[Соловьев Андрей Егорович])</f>
        <v>25</v>
      </c>
      <c r="AE4" s="1"/>
      <c r="AF4" s="1">
        <f>SUBTOTAL(109,Дума_партии3410[Соломатина Мария Алексеевна])</f>
        <v>16</v>
      </c>
      <c r="AG4" s="1"/>
      <c r="AH4" s="1">
        <f>SUBTOTAL(109,Дума_партии3410[Цилина Ольга Викторовна])</f>
        <v>22</v>
      </c>
      <c r="AI4" s="1"/>
      <c r="AJ4" s="1">
        <f>SUBTOTAL(102,Дума_партии3410[КОИБ])</f>
        <v>2</v>
      </c>
      <c r="AK4" s="1">
        <f>SUBTOTAL(102,Дума_партии3410[Наблюдателей])</f>
        <v>2</v>
      </c>
    </row>
    <row r="5" spans="1:38" x14ac:dyDescent="0.4">
      <c r="A5" s="3"/>
      <c r="B5" s="3"/>
      <c r="C5" s="3"/>
      <c r="D5" s="3"/>
      <c r="E5" s="3"/>
      <c r="F5" s="3"/>
      <c r="G5" s="3"/>
      <c r="H5" s="3" t="s">
        <v>12</v>
      </c>
      <c r="I5" s="3">
        <f>100*(H4+I4)/D4</f>
        <v>17.17231806464406</v>
      </c>
      <c r="L5" s="3"/>
      <c r="M5" s="3"/>
      <c r="N5" s="3"/>
      <c r="O5" s="3"/>
      <c r="Q5" s="3"/>
      <c r="S5" s="3"/>
      <c r="T5" s="3"/>
      <c r="U5" s="3"/>
      <c r="V5" s="3">
        <f>100*V4/$O4</f>
        <v>59.653179190751445</v>
      </c>
      <c r="X5" s="3">
        <f>100*X4/$O4</f>
        <v>21.040462427745666</v>
      </c>
      <c r="Z5" s="3">
        <f>100*Z4/$O4</f>
        <v>4.1618497109826587</v>
      </c>
      <c r="AB5" s="3">
        <f>100*AB4/$O4</f>
        <v>3.1213872832369942</v>
      </c>
      <c r="AD5" s="3">
        <f>100*AD4/$O4</f>
        <v>2.8901734104046244</v>
      </c>
      <c r="AF5" s="3">
        <f>100*AF4/$O4</f>
        <v>1.8497109826589595</v>
      </c>
      <c r="AH5" s="3">
        <f>100*AH4/$O4</f>
        <v>2.5433526011560694</v>
      </c>
      <c r="AJ5" s="3"/>
    </row>
    <row r="6" spans="1:38" x14ac:dyDescent="0.4">
      <c r="A6" s="3"/>
      <c r="B6" s="3"/>
      <c r="C6" s="3"/>
      <c r="D6" s="3"/>
      <c r="E6" s="3"/>
      <c r="F6" s="3"/>
      <c r="G6" s="3"/>
      <c r="H6" s="3"/>
      <c r="I6" s="3"/>
      <c r="L6" s="3"/>
      <c r="M6" s="3"/>
      <c r="N6" s="3"/>
      <c r="O6" s="3"/>
      <c r="Q6" s="3"/>
      <c r="S6" s="3"/>
      <c r="T6" s="3"/>
      <c r="U6" s="3"/>
      <c r="V6" s="3"/>
      <c r="X6" s="3"/>
      <c r="Z6" s="3"/>
      <c r="AB6" s="3"/>
      <c r="AH6" s="3"/>
      <c r="AJ6" s="3"/>
      <c r="AK6" s="3"/>
    </row>
    <row r="22" spans="22:25" x14ac:dyDescent="0.4">
      <c r="W22" s="1"/>
    </row>
    <row r="23" spans="22:25" x14ac:dyDescent="0.4">
      <c r="V23" s="3"/>
      <c r="W23" s="9"/>
    </row>
    <row r="24" spans="22:25" x14ac:dyDescent="0.4">
      <c r="W24" s="5"/>
      <c r="Y24" s="5"/>
    </row>
    <row r="25" spans="22:25" x14ac:dyDescent="0.4">
      <c r="V25" s="3"/>
      <c r="W25" s="9"/>
    </row>
    <row r="26" spans="22:25" x14ac:dyDescent="0.4">
      <c r="V26" s="3"/>
      <c r="W26" s="1"/>
    </row>
    <row r="27" spans="22:25" x14ac:dyDescent="0.4">
      <c r="V27" s="3"/>
      <c r="W27" s="1"/>
    </row>
    <row r="28" spans="22:25" x14ac:dyDescent="0.4">
      <c r="V28" s="3"/>
      <c r="W28" s="1"/>
    </row>
    <row r="29" spans="22:25" x14ac:dyDescent="0.4">
      <c r="V29" s="3"/>
      <c r="W29" s="1"/>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1" t="s">
        <v>83</v>
      </c>
      <c r="W41" s="1"/>
    </row>
    <row r="42" spans="22:23" x14ac:dyDescent="0.4">
      <c r="V42" s="1">
        <f>MAX(Дума_партии[Вес участка])*2</f>
        <v>5646</v>
      </c>
      <c r="W42" s="1"/>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938C-A495-4239-B196-5CF874083069}">
  <dimension ref="A1:AN43"/>
  <sheetViews>
    <sheetView zoomScale="70" zoomScaleNormal="70" workbookViewId="0">
      <pane ySplit="1" topLeftCell="A2" activePane="bottomLeft" state="frozen"/>
      <selection pane="bottomLeft" activeCell="V11" sqref="V11"/>
    </sheetView>
  </sheetViews>
  <sheetFormatPr defaultRowHeight="14.15" x14ac:dyDescent="0.4"/>
  <cols>
    <col min="1" max="1" width="6.4609375" style="1" customWidth="1"/>
    <col min="2" max="2" width="6.23046875" style="1" customWidth="1"/>
    <col min="3" max="3" width="17.07421875" style="1" customWidth="1"/>
    <col min="4" max="4" width="7.3828125" style="1" customWidth="1"/>
    <col min="5" max="7" width="6.23046875" style="1" customWidth="1"/>
    <col min="8" max="8" width="7.3828125" style="1" customWidth="1"/>
    <col min="9" max="9" width="6.23046875" style="1" customWidth="1"/>
    <col min="10" max="11" width="6.23046875" style="3" customWidth="1"/>
    <col min="12" max="14" width="6.23046875" style="1" customWidth="1"/>
    <col min="15" max="15" width="7.4609375" style="1" customWidth="1"/>
    <col min="16" max="16" width="6.23046875" style="3" customWidth="1"/>
    <col min="17" max="17" width="6.23046875" style="1" customWidth="1"/>
    <col min="18" max="18" width="6.23046875" style="3" customWidth="1"/>
    <col min="19" max="19" width="7.4609375" style="1" customWidth="1"/>
    <col min="20" max="22" width="6.23046875" style="1" customWidth="1"/>
    <col min="23" max="23" width="6.23046875" style="3" customWidth="1"/>
    <col min="24" max="24" width="6.23046875" style="1" customWidth="1"/>
    <col min="25" max="25" width="6.23046875" style="3" customWidth="1"/>
    <col min="26" max="26" width="6.23046875" style="1" customWidth="1"/>
    <col min="27" max="27" width="6.23046875" style="3" customWidth="1"/>
    <col min="28" max="28" width="6.23046875" style="1" customWidth="1"/>
    <col min="29" max="33" width="6.23046875" style="3" customWidth="1"/>
    <col min="34" max="34" width="6.23046875" style="1" customWidth="1"/>
    <col min="35" max="35" width="6.23046875" style="3" customWidth="1"/>
    <col min="36" max="36" width="6.23046875" style="1" customWidth="1"/>
    <col min="37" max="37" width="6.23046875" style="3" customWidth="1"/>
    <col min="38" max="38" width="6.23046875" style="1" customWidth="1"/>
    <col min="39" max="39" width="6.53515625" style="6" customWidth="1"/>
    <col min="40" max="40" width="19.3828125" style="1" customWidth="1"/>
    <col min="41" max="16384" width="9.23046875" style="1"/>
  </cols>
  <sheetData>
    <row r="1" spans="1:40" s="16" customFormat="1" x14ac:dyDescent="0.4">
      <c r="A1" s="7" t="s">
        <v>34</v>
      </c>
      <c r="B1" s="7" t="s">
        <v>24</v>
      </c>
      <c r="C1" s="7" t="s">
        <v>25</v>
      </c>
      <c r="D1" s="11" t="s">
        <v>69</v>
      </c>
      <c r="E1" s="7" t="s">
        <v>26</v>
      </c>
      <c r="F1" s="12" t="s">
        <v>13</v>
      </c>
      <c r="G1" s="11" t="s">
        <v>68</v>
      </c>
      <c r="H1" s="11" t="s">
        <v>70</v>
      </c>
      <c r="I1" s="11" t="s">
        <v>60</v>
      </c>
      <c r="J1" s="13" t="s">
        <v>2</v>
      </c>
      <c r="K1" s="13" t="s">
        <v>21</v>
      </c>
      <c r="L1" s="11" t="s">
        <v>14</v>
      </c>
      <c r="M1" s="11" t="s">
        <v>15</v>
      </c>
      <c r="N1" s="11" t="s">
        <v>16</v>
      </c>
      <c r="O1" s="7" t="s">
        <v>4</v>
      </c>
      <c r="P1" s="14" t="s">
        <v>3</v>
      </c>
      <c r="Q1" s="11" t="s">
        <v>17</v>
      </c>
      <c r="R1" s="14" t="s">
        <v>22</v>
      </c>
      <c r="S1" s="11" t="s">
        <v>18</v>
      </c>
      <c r="T1" s="11" t="s">
        <v>19</v>
      </c>
      <c r="U1" s="11" t="s">
        <v>20</v>
      </c>
      <c r="V1" s="17" t="s">
        <v>158</v>
      </c>
      <c r="W1" s="14" t="s">
        <v>168</v>
      </c>
      <c r="X1" s="17" t="s">
        <v>159</v>
      </c>
      <c r="Y1" s="14" t="s">
        <v>160</v>
      </c>
      <c r="Z1" s="11" t="s">
        <v>161</v>
      </c>
      <c r="AA1" s="14" t="s">
        <v>169</v>
      </c>
      <c r="AB1" s="11" t="s">
        <v>162</v>
      </c>
      <c r="AC1" s="14" t="s">
        <v>170</v>
      </c>
      <c r="AD1" s="17" t="s">
        <v>163</v>
      </c>
      <c r="AE1" s="14" t="s">
        <v>171</v>
      </c>
      <c r="AF1" s="11" t="s">
        <v>164</v>
      </c>
      <c r="AG1" s="14" t="s">
        <v>172</v>
      </c>
      <c r="AH1" s="17" t="s">
        <v>165</v>
      </c>
      <c r="AI1" s="14" t="s">
        <v>173</v>
      </c>
      <c r="AJ1" s="11" t="s">
        <v>166</v>
      </c>
      <c r="AK1" s="14" t="s">
        <v>167</v>
      </c>
      <c r="AL1" s="15" t="s">
        <v>32</v>
      </c>
      <c r="AM1" s="25" t="s">
        <v>23</v>
      </c>
      <c r="AN1" s="25" t="s">
        <v>205</v>
      </c>
    </row>
    <row r="2" spans="1:40" x14ac:dyDescent="0.4">
      <c r="A2">
        <v>8</v>
      </c>
      <c r="B2" s="4">
        <v>2693</v>
      </c>
      <c r="C2" t="s">
        <v>50</v>
      </c>
      <c r="D2">
        <v>1544</v>
      </c>
      <c r="E2" s="1">
        <f t="shared" ref="E2:E4" si="0">D2</f>
        <v>1544</v>
      </c>
      <c r="F2">
        <v>1500</v>
      </c>
      <c r="G2">
        <v>0</v>
      </c>
      <c r="H2">
        <v>197</v>
      </c>
      <c r="I2">
        <v>7</v>
      </c>
      <c r="J2" s="3">
        <f t="shared" ref="J2:J4" si="1">100*(H2+I2)/D2</f>
        <v>13.212435233160623</v>
      </c>
      <c r="K2" s="3">
        <f t="shared" ref="K2:K4" si="2">100*I2/D2</f>
        <v>0.45336787564766839</v>
      </c>
      <c r="L2">
        <v>1296</v>
      </c>
      <c r="M2">
        <v>7</v>
      </c>
      <c r="N2">
        <v>196</v>
      </c>
      <c r="O2" s="1">
        <f t="shared" ref="O2:O4" si="3">M2+N2</f>
        <v>203</v>
      </c>
      <c r="P2" s="3">
        <f t="shared" ref="P2:P4" si="4">100*M2/O2</f>
        <v>3.4482758620689653</v>
      </c>
      <c r="Q2">
        <v>9</v>
      </c>
      <c r="R2" s="3">
        <f t="shared" ref="R2:R4" si="5">100*Q2/O2</f>
        <v>4.4334975369458132</v>
      </c>
      <c r="S2">
        <v>194</v>
      </c>
      <c r="T2">
        <v>0</v>
      </c>
      <c r="U2">
        <v>0</v>
      </c>
      <c r="V2">
        <v>21</v>
      </c>
      <c r="W2" s="3">
        <f t="shared" ref="W2:W4" si="6">100*V2/$O2</f>
        <v>10.344827586206897</v>
      </c>
      <c r="X2">
        <v>12</v>
      </c>
      <c r="Y2" s="3">
        <f t="shared" ref="Y2:Y4" si="7">100*X2/$O2</f>
        <v>5.9113300492610836</v>
      </c>
      <c r="Z2">
        <v>4</v>
      </c>
      <c r="AA2" s="3">
        <f t="shared" ref="AA2:AA4" si="8">100*Z2/$O2</f>
        <v>1.9704433497536946</v>
      </c>
      <c r="AB2">
        <v>9</v>
      </c>
      <c r="AC2" s="3">
        <f t="shared" ref="AC2:AC4" si="9">100*AB2/$O2</f>
        <v>4.4334975369458132</v>
      </c>
      <c r="AD2">
        <v>1</v>
      </c>
      <c r="AE2" s="3">
        <f t="shared" ref="AE2:AE4" si="10">100*AD2/$O2</f>
        <v>0.49261083743842365</v>
      </c>
      <c r="AF2">
        <v>10</v>
      </c>
      <c r="AG2" s="3">
        <f t="shared" ref="AG2:AG4" si="11">100*AF2/$O2</f>
        <v>4.9261083743842367</v>
      </c>
      <c r="AH2">
        <v>127</v>
      </c>
      <c r="AI2" s="3">
        <f t="shared" ref="AI2:AI4" si="12">100*AH2/$O2</f>
        <v>62.561576354679801</v>
      </c>
      <c r="AJ2">
        <v>10</v>
      </c>
      <c r="AK2" s="3">
        <f t="shared" ref="AK2:AK4" si="13">100*AJ2/$O2</f>
        <v>4.9261083743842367</v>
      </c>
      <c r="AL2">
        <v>2017</v>
      </c>
      <c r="AM2">
        <v>1</v>
      </c>
      <c r="AN2" t="s">
        <v>200</v>
      </c>
    </row>
    <row r="3" spans="1:40" x14ac:dyDescent="0.4">
      <c r="A3">
        <v>8</v>
      </c>
      <c r="B3" s="4">
        <v>2696</v>
      </c>
      <c r="C3" t="s">
        <v>50</v>
      </c>
      <c r="D3">
        <v>1562</v>
      </c>
      <c r="E3">
        <f t="shared" si="0"/>
        <v>1562</v>
      </c>
      <c r="F3">
        <v>1500</v>
      </c>
      <c r="G3">
        <v>0</v>
      </c>
      <c r="H3">
        <v>223</v>
      </c>
      <c r="I3">
        <v>1</v>
      </c>
      <c r="J3" s="18">
        <f t="shared" si="1"/>
        <v>14.340588988476313</v>
      </c>
      <c r="K3" s="18">
        <f t="shared" si="2"/>
        <v>6.4020486555697823E-2</v>
      </c>
      <c r="L3">
        <v>1276</v>
      </c>
      <c r="M3">
        <v>1</v>
      </c>
      <c r="N3">
        <v>223</v>
      </c>
      <c r="O3">
        <f t="shared" si="3"/>
        <v>224</v>
      </c>
      <c r="P3" s="18">
        <f t="shared" si="4"/>
        <v>0.44642857142857145</v>
      </c>
      <c r="Q3">
        <v>4</v>
      </c>
      <c r="R3" s="18">
        <f t="shared" si="5"/>
        <v>1.7857142857142858</v>
      </c>
      <c r="S3">
        <v>220</v>
      </c>
      <c r="T3">
        <v>0</v>
      </c>
      <c r="U3">
        <v>0</v>
      </c>
      <c r="V3">
        <v>33</v>
      </c>
      <c r="W3" s="18">
        <f t="shared" si="6"/>
        <v>14.732142857142858</v>
      </c>
      <c r="X3">
        <v>18</v>
      </c>
      <c r="Y3" s="18">
        <f t="shared" si="7"/>
        <v>8.0357142857142865</v>
      </c>
      <c r="Z3">
        <v>8</v>
      </c>
      <c r="AA3" s="18">
        <f t="shared" si="8"/>
        <v>3.5714285714285716</v>
      </c>
      <c r="AB3">
        <v>8</v>
      </c>
      <c r="AC3" s="18">
        <f t="shared" si="9"/>
        <v>3.5714285714285716</v>
      </c>
      <c r="AD3">
        <v>3</v>
      </c>
      <c r="AE3" s="18">
        <f t="shared" si="10"/>
        <v>1.3392857142857142</v>
      </c>
      <c r="AF3">
        <v>14</v>
      </c>
      <c r="AG3" s="18">
        <f t="shared" si="11"/>
        <v>6.25</v>
      </c>
      <c r="AH3">
        <v>131</v>
      </c>
      <c r="AI3" s="18">
        <f t="shared" si="12"/>
        <v>58.482142857142854</v>
      </c>
      <c r="AJ3">
        <v>5</v>
      </c>
      <c r="AK3" s="18">
        <f t="shared" si="13"/>
        <v>2.2321428571428572</v>
      </c>
      <c r="AL3" t="s">
        <v>33</v>
      </c>
      <c r="AM3">
        <v>1</v>
      </c>
      <c r="AN3" t="s">
        <v>200</v>
      </c>
    </row>
    <row r="4" spans="1:40" s="3" customFormat="1" x14ac:dyDescent="0.4">
      <c r="A4">
        <v>8</v>
      </c>
      <c r="B4" s="4">
        <v>2697</v>
      </c>
      <c r="C4" t="s">
        <v>50</v>
      </c>
      <c r="D4">
        <v>1783</v>
      </c>
      <c r="E4">
        <f t="shared" si="0"/>
        <v>1783</v>
      </c>
      <c r="F4">
        <v>1700</v>
      </c>
      <c r="G4">
        <v>0</v>
      </c>
      <c r="H4">
        <v>397</v>
      </c>
      <c r="I4">
        <v>16</v>
      </c>
      <c r="J4" s="18">
        <f t="shared" si="1"/>
        <v>23.163208076275939</v>
      </c>
      <c r="K4" s="18">
        <f t="shared" si="2"/>
        <v>0.89736399326977001</v>
      </c>
      <c r="L4">
        <v>1287</v>
      </c>
      <c r="M4">
        <v>16</v>
      </c>
      <c r="N4">
        <v>397</v>
      </c>
      <c r="O4">
        <f t="shared" si="3"/>
        <v>413</v>
      </c>
      <c r="P4" s="18">
        <f t="shared" si="4"/>
        <v>3.87409200968523</v>
      </c>
      <c r="Q4">
        <v>15</v>
      </c>
      <c r="R4" s="18">
        <f t="shared" si="5"/>
        <v>3.6319612590799033</v>
      </c>
      <c r="S4">
        <v>398</v>
      </c>
      <c r="T4">
        <v>0</v>
      </c>
      <c r="U4">
        <v>0</v>
      </c>
      <c r="V4">
        <v>27</v>
      </c>
      <c r="W4" s="18">
        <f t="shared" si="6"/>
        <v>6.5375302663438255</v>
      </c>
      <c r="X4">
        <v>40</v>
      </c>
      <c r="Y4" s="18">
        <f t="shared" si="7"/>
        <v>9.6852300242130749</v>
      </c>
      <c r="Z4">
        <v>6</v>
      </c>
      <c r="AA4" s="18">
        <f t="shared" si="8"/>
        <v>1.4527845036319613</v>
      </c>
      <c r="AB4">
        <v>5</v>
      </c>
      <c r="AC4" s="18">
        <f t="shared" si="9"/>
        <v>1.2106537530266344</v>
      </c>
      <c r="AD4">
        <v>3</v>
      </c>
      <c r="AE4" s="18">
        <f t="shared" si="10"/>
        <v>0.72639225181598066</v>
      </c>
      <c r="AF4">
        <v>16</v>
      </c>
      <c r="AG4" s="18">
        <f t="shared" si="11"/>
        <v>3.87409200968523</v>
      </c>
      <c r="AH4">
        <v>296</v>
      </c>
      <c r="AI4" s="18">
        <f t="shared" si="12"/>
        <v>71.670702179176757</v>
      </c>
      <c r="AJ4">
        <v>5</v>
      </c>
      <c r="AK4" s="18">
        <f t="shared" si="13"/>
        <v>1.2106537530266344</v>
      </c>
      <c r="AL4" t="s">
        <v>33</v>
      </c>
      <c r="AM4">
        <v>1</v>
      </c>
      <c r="AN4" t="s">
        <v>200</v>
      </c>
    </row>
    <row r="5" spans="1:40" x14ac:dyDescent="0.4">
      <c r="B5" s="1">
        <f>SUBTOTAL(103,Дума_партии3411[УИК])</f>
        <v>3</v>
      </c>
      <c r="D5" s="1">
        <f>SUBTOTAL(109,Дума_партии3411[Число избирателей, внесенных в список на момент окончания голосования])</f>
        <v>4889</v>
      </c>
      <c r="F5" s="1">
        <f>SUBTOTAL(109,Дума_партии3411[Число бюллетеней, полученных участковой избирательной комиссией])</f>
        <v>4700</v>
      </c>
      <c r="G5" s="1">
        <f>SUBTOTAL(109,Дума_партии3411[Число бюллетеней, выданных избирателям, проголосовавшим досрочно в помещении территориальной избирательной комиссии])</f>
        <v>0</v>
      </c>
      <c r="H5" s="1">
        <f>SUBTOTAL(109,Дума_партии3411[Число бюллетеней, выданных избирателям, в помещении для голосования в день голосования])</f>
        <v>817</v>
      </c>
      <c r="I5" s="1">
        <f>SUBTOTAL(109,Дума_партии3411[Число бюллетеней, выданных избирателям, проголосовавшим вне помещения для голосования в день голосования])</f>
        <v>24</v>
      </c>
      <c r="J5" s="1"/>
      <c r="K5" s="1"/>
      <c r="L5" s="1">
        <f>SUBTOTAL(109,Дума_партии3411[Число погашенных бюллетеней])</f>
        <v>3859</v>
      </c>
      <c r="M5" s="1">
        <f>SUBTOTAL(109,Дума_партии3411[Число бюллетеней, содержащихся в переносных ящиках для голосования])</f>
        <v>24</v>
      </c>
      <c r="N5" s="1">
        <f>SUBTOTAL(109,Дума_партии3411[Число бюллетеней, содержащихся в стационарных ящиках для голосования])</f>
        <v>816</v>
      </c>
      <c r="O5" s="1">
        <f>SUBTOTAL(109,Дума_партии3411[Обнаружено])</f>
        <v>840</v>
      </c>
      <c r="P5" s="1"/>
      <c r="Q5" s="1">
        <f>SUBTOTAL(109,Дума_партии3411[Число недействительных бюллетеней])</f>
        <v>28</v>
      </c>
      <c r="R5" s="1"/>
      <c r="S5" s="8">
        <f>SUBTOTAL(109,Дума_партии3411[Число действительных бюллетеней])</f>
        <v>812</v>
      </c>
      <c r="T5" s="1">
        <f>SUBTOTAL(109,Дума_партии3411[Число утраченных бюллетеней])</f>
        <v>0</v>
      </c>
      <c r="U5" s="1">
        <f>SUBTOTAL(109,Дума_партии3411[Число бюллетеней, не учтенных при получении])</f>
        <v>0</v>
      </c>
      <c r="V5" s="1">
        <f>SUBTOTAL(109,Дума_партии3411[Борисов Михаил Сергеевич])</f>
        <v>81</v>
      </c>
      <c r="W5" s="1"/>
      <c r="X5" s="1">
        <f>SUBTOTAL(109,Дума_партии3411[Галетов Иван Дмитриевич])</f>
        <v>70</v>
      </c>
      <c r="Y5" s="1"/>
      <c r="Z5" s="1">
        <f>SUBTOTAL(109,Дума_партии3411[Григорьев Олег Валерьевич])</f>
        <v>18</v>
      </c>
      <c r="AA5" s="1"/>
      <c r="AB5" s="1">
        <f>SUBTOTAL(109,Дума_партии3411[Клюев Никита Максимович])</f>
        <v>22</v>
      </c>
      <c r="AC5" s="1"/>
      <c r="AD5" s="1">
        <f>SUBTOTAL(109,Дума_партии3411[Кухаренко Владимир Вячеславович])</f>
        <v>7</v>
      </c>
      <c r="AE5" s="1"/>
      <c r="AF5" s="1">
        <f>SUBTOTAL(109,Дума_партии3411[Пичугина Зоя Ивановна])</f>
        <v>40</v>
      </c>
      <c r="AG5" s="1"/>
      <c r="AH5" s="1">
        <f>SUBTOTAL(109,Дума_партии3411[Слуцкий Александр Владимирович])</f>
        <v>554</v>
      </c>
      <c r="AI5" s="1"/>
      <c r="AJ5" s="1">
        <f>SUBTOTAL(109,Дума_партии3411[Якушева Ирина Вячеславовна])</f>
        <v>20</v>
      </c>
      <c r="AK5" s="1"/>
      <c r="AL5" s="1">
        <f>SUBTOTAL(102,Дума_партии3411[КОИБ])</f>
        <v>1</v>
      </c>
      <c r="AM5" s="1">
        <f>SUBTOTAL(102,Дума_партии3411[Наблюдателей])</f>
        <v>3</v>
      </c>
    </row>
    <row r="6" spans="1:40" x14ac:dyDescent="0.4">
      <c r="A6" s="3"/>
      <c r="B6" s="3"/>
      <c r="C6" s="3"/>
      <c r="D6" s="3"/>
      <c r="E6" s="3"/>
      <c r="F6" s="3"/>
      <c r="G6" s="3"/>
      <c r="H6" s="3" t="s">
        <v>12</v>
      </c>
      <c r="I6" s="3">
        <f>100*(H5+I5)/D5</f>
        <v>17.201881775414193</v>
      </c>
      <c r="L6" s="3"/>
      <c r="M6" s="3"/>
      <c r="N6" s="3"/>
      <c r="O6" s="3"/>
      <c r="Q6" s="3"/>
      <c r="S6" s="3"/>
      <c r="T6" s="3"/>
      <c r="U6" s="3"/>
      <c r="V6" s="3">
        <f>100*V5/$O5</f>
        <v>9.6428571428571423</v>
      </c>
      <c r="X6" s="3">
        <f>100*X5/$O5</f>
        <v>8.3333333333333339</v>
      </c>
      <c r="Z6" s="3">
        <f>100*Z5/$O5</f>
        <v>2.1428571428571428</v>
      </c>
      <c r="AB6" s="3">
        <f>100*AB5/$O5</f>
        <v>2.6190476190476191</v>
      </c>
      <c r="AD6" s="3">
        <f>100*AD5/$O5</f>
        <v>0.83333333333333337</v>
      </c>
      <c r="AF6" s="3">
        <f>100*AF5/$O5</f>
        <v>4.7619047619047619</v>
      </c>
      <c r="AH6" s="3">
        <f>100*AH5/$O5</f>
        <v>65.952380952380949</v>
      </c>
      <c r="AJ6" s="3">
        <f>100*AJ5/$O5</f>
        <v>2.3809523809523809</v>
      </c>
      <c r="AL6" s="3"/>
    </row>
    <row r="7" spans="1:40" x14ac:dyDescent="0.4">
      <c r="A7" s="3"/>
      <c r="B7" s="3"/>
      <c r="C7" s="3"/>
      <c r="D7" s="3"/>
      <c r="E7" s="3"/>
      <c r="F7" s="3"/>
      <c r="G7" s="3"/>
      <c r="H7" s="3"/>
      <c r="I7" s="3"/>
      <c r="L7" s="3"/>
      <c r="M7" s="3"/>
      <c r="N7" s="3"/>
      <c r="O7" s="3"/>
      <c r="Q7" s="3"/>
      <c r="S7" s="3"/>
      <c r="T7" s="3"/>
      <c r="U7" s="3"/>
      <c r="V7" s="3"/>
      <c r="X7" s="3"/>
      <c r="Z7" s="3"/>
      <c r="AB7" s="3"/>
      <c r="AH7" s="3"/>
      <c r="AJ7" s="3"/>
      <c r="AL7" s="3"/>
      <c r="AM7" s="3"/>
    </row>
    <row r="23" spans="22:25" x14ac:dyDescent="0.4">
      <c r="W23" s="1"/>
    </row>
    <row r="24" spans="22:25" x14ac:dyDescent="0.4">
      <c r="V24" s="3"/>
      <c r="W24" s="9"/>
    </row>
    <row r="25" spans="22:25" x14ac:dyDescent="0.4">
      <c r="W25" s="5"/>
      <c r="Y25" s="5"/>
    </row>
    <row r="26" spans="22:25" x14ac:dyDescent="0.4">
      <c r="V26" s="3"/>
      <c r="W26" s="9"/>
    </row>
    <row r="27" spans="22:25" x14ac:dyDescent="0.4">
      <c r="V27" s="3"/>
      <c r="W27" s="1"/>
    </row>
    <row r="28" spans="22:25" x14ac:dyDescent="0.4">
      <c r="V28" s="3"/>
      <c r="W28" s="1"/>
    </row>
    <row r="29" spans="22:25" x14ac:dyDescent="0.4">
      <c r="V29" s="3"/>
      <c r="W29" s="1"/>
    </row>
    <row r="30" spans="22:25" x14ac:dyDescent="0.4">
      <c r="V30" s="3"/>
      <c r="W30" s="1"/>
    </row>
    <row r="31" spans="22:25" x14ac:dyDescent="0.4">
      <c r="V31" s="3"/>
      <c r="W31" s="1"/>
    </row>
    <row r="32" spans="22:25" x14ac:dyDescent="0.4">
      <c r="V32" s="3"/>
      <c r="W32" s="1"/>
    </row>
    <row r="33" spans="22:23" x14ac:dyDescent="0.4">
      <c r="V33" s="3"/>
      <c r="W33" s="1"/>
    </row>
    <row r="34" spans="22:23" x14ac:dyDescent="0.4">
      <c r="V34" s="3"/>
      <c r="W34" s="1"/>
    </row>
    <row r="35" spans="22:23" x14ac:dyDescent="0.4">
      <c r="V35" s="3"/>
      <c r="W35" s="1"/>
    </row>
    <row r="36" spans="22:23" x14ac:dyDescent="0.4">
      <c r="V36" s="3"/>
      <c r="W36" s="1"/>
    </row>
    <row r="37" spans="22:23" x14ac:dyDescent="0.4">
      <c r="V37" s="3"/>
      <c r="W37" s="1"/>
    </row>
    <row r="38" spans="22:23" x14ac:dyDescent="0.4">
      <c r="V38" s="3"/>
      <c r="W38" s="1"/>
    </row>
    <row r="39" spans="22:23" x14ac:dyDescent="0.4">
      <c r="V39" s="3"/>
      <c r="W39" s="1"/>
    </row>
    <row r="40" spans="22:23" x14ac:dyDescent="0.4">
      <c r="V40" s="3"/>
      <c r="W40" s="1"/>
    </row>
    <row r="41" spans="22:23" x14ac:dyDescent="0.4">
      <c r="V41" s="3"/>
      <c r="W41" s="1"/>
    </row>
    <row r="42" spans="22:23" x14ac:dyDescent="0.4">
      <c r="V42" s="1" t="s">
        <v>83</v>
      </c>
      <c r="W42" s="1"/>
    </row>
    <row r="43" spans="22:23" x14ac:dyDescent="0.4">
      <c r="V43" s="1">
        <f>MAX(Дума_партии[Вес участка])*2</f>
        <v>5646</v>
      </c>
      <c r="W43" s="1"/>
    </row>
  </sheetData>
  <pageMargins left="0.7" right="0.7" top="0.75" bottom="0.75" header="0.3" footer="0.3"/>
  <pageSetup paperSize="9" orientation="portrait" horizontalDpi="4294967295" verticalDpi="4294967295"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Партии (единый округ)</vt:lpstr>
      <vt:lpstr>Одномандатный №1</vt:lpstr>
      <vt:lpstr>№2</vt:lpstr>
      <vt:lpstr>№3</vt:lpstr>
      <vt:lpstr>№4</vt:lpstr>
      <vt:lpstr>№5</vt:lpstr>
      <vt:lpstr>№6</vt:lpstr>
      <vt:lpstr>№7</vt:lpstr>
      <vt:lpstr>№8</vt:lpstr>
      <vt:lpstr>№9</vt:lpstr>
      <vt:lpstr>№10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2021-12-20T04:15:22Z</dcterms:created>
  <dcterms:modified xsi:type="dcterms:W3CDTF">2022-09-21T16:30:03Z</dcterms:modified>
</cp:coreProperties>
</file>